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D:\v7_code\VES\nworks Enterprise Manager\MS\SCOM\nworks MP vNext\ResourceKit\"/>
    </mc:Choice>
  </mc:AlternateContent>
  <bookViews>
    <workbookView xWindow="120" yWindow="15" windowWidth="19005" windowHeight="10860" tabRatio="697"/>
  </bookViews>
  <sheets>
    <sheet name="Instructions&amp;Notes" sheetId="3" r:id="rId1"/>
    <sheet name="Calculator" sheetId="1" r:id="rId2"/>
    <sheet name="High-granularity" sheetId="5" r:id="rId3"/>
    <sheet name="Metrics&amp;Counters" sheetId="2" r:id="rId4"/>
    <sheet name="HG Metrics&amp;Counters" sheetId="6" r:id="rId5"/>
    <sheet name="Sheet1" sheetId="4" r:id="rId6"/>
  </sheets>
  <calcPr calcId="152511"/>
</workbook>
</file>

<file path=xl/calcChain.xml><?xml version="1.0" encoding="utf-8"?>
<calcChain xmlns="http://schemas.openxmlformats.org/spreadsheetml/2006/main">
  <c r="F5" i="1" l="1"/>
  <c r="F4" i="1"/>
  <c r="E53" i="6" l="1"/>
  <c r="E52" i="2"/>
  <c r="E52" i="6"/>
  <c r="E50" i="6"/>
  <c r="E51" i="2"/>
  <c r="C48" i="2"/>
  <c r="E49" i="2"/>
  <c r="C49" i="2" s="1"/>
  <c r="E50" i="2"/>
  <c r="C51" i="2" l="1"/>
  <c r="E53" i="2"/>
  <c r="C53" i="2" s="1"/>
  <c r="C50" i="6" l="1"/>
  <c r="D48" i="6"/>
  <c r="D49" i="6"/>
  <c r="D50" i="6"/>
  <c r="D51" i="6"/>
  <c r="D52" i="6"/>
  <c r="D53" i="6"/>
  <c r="D54" i="6"/>
  <c r="D55" i="6"/>
  <c r="D47" i="6"/>
  <c r="B22" i="6" s="1"/>
  <c r="C5" i="6"/>
  <c r="G15" i="5"/>
  <c r="E54" i="6"/>
  <c r="C53" i="6"/>
  <c r="C52" i="6"/>
  <c r="C49" i="6"/>
  <c r="C55" i="6"/>
  <c r="B5" i="6" s="1"/>
  <c r="C54" i="6"/>
  <c r="B4" i="6" s="1"/>
  <c r="C48" i="6"/>
  <c r="C47" i="6"/>
  <c r="C4" i="6" l="1"/>
  <c r="G14" i="5"/>
  <c r="G16" i="5"/>
  <c r="G20" i="5" s="1"/>
  <c r="B24" i="6"/>
  <c r="G30" i="5" s="1"/>
  <c r="C15" i="6"/>
  <c r="C23" i="6"/>
  <c r="B12" i="6"/>
  <c r="C14" i="6"/>
  <c r="C24" i="6"/>
  <c r="G32" i="5" s="1"/>
  <c r="C22" i="6"/>
  <c r="C12" i="6"/>
  <c r="B23" i="6"/>
  <c r="C51" i="6"/>
  <c r="B14" i="6" s="1"/>
  <c r="B15" i="6"/>
  <c r="C13" i="6"/>
  <c r="B13" i="6"/>
  <c r="G22" i="5" l="1"/>
  <c r="G4" i="5" s="1"/>
  <c r="G5" i="5" s="1"/>
  <c r="G19" i="5"/>
  <c r="G24" i="5"/>
  <c r="G8" i="5" s="1"/>
  <c r="G35" i="5"/>
  <c r="G33" i="5"/>
  <c r="G36" i="5"/>
  <c r="G34" i="5"/>
  <c r="G17" i="5"/>
  <c r="G18" i="5"/>
  <c r="E54" i="2"/>
  <c r="E48" i="2"/>
  <c r="G27" i="5" l="1"/>
  <c r="G11" i="5" s="1"/>
  <c r="G25" i="5"/>
  <c r="G9" i="5" s="1"/>
  <c r="G28" i="5"/>
  <c r="G12" i="5" s="1"/>
  <c r="G26" i="5"/>
  <c r="G10" i="5" s="1"/>
  <c r="G19" i="1"/>
  <c r="D47" i="2"/>
  <c r="D48" i="2" l="1"/>
  <c r="D49" i="2"/>
  <c r="D50" i="2"/>
  <c r="C13" i="2" s="1"/>
  <c r="D51" i="2"/>
  <c r="D52" i="2"/>
  <c r="D53" i="2"/>
  <c r="D54" i="2"/>
  <c r="C4" i="2" s="1"/>
  <c r="D55" i="2"/>
  <c r="C5" i="2" s="1"/>
  <c r="G35" i="1"/>
  <c r="G27" i="1"/>
  <c r="B4" i="2"/>
  <c r="C55" i="2"/>
  <c r="B5" i="2" s="1"/>
  <c r="C47" i="2"/>
  <c r="C14" i="2"/>
  <c r="G20" i="1" l="1"/>
  <c r="G18" i="1"/>
  <c r="G23" i="1"/>
  <c r="G21" i="1"/>
  <c r="G24" i="1"/>
  <c r="G22" i="1"/>
  <c r="C24" i="2"/>
  <c r="G36" i="1" s="1"/>
  <c r="C15" i="2"/>
  <c r="B13" i="2"/>
  <c r="B24" i="2"/>
  <c r="G34" i="1" s="1"/>
  <c r="C52" i="2"/>
  <c r="C22" i="2"/>
  <c r="B15" i="2"/>
  <c r="B14" i="2"/>
  <c r="G39" i="1" l="1"/>
  <c r="G37" i="1"/>
  <c r="G38" i="1"/>
  <c r="G40" i="1"/>
  <c r="B23" i="2"/>
  <c r="C23" i="2"/>
  <c r="B22" i="2"/>
  <c r="B12" i="2"/>
  <c r="G26" i="1" s="1"/>
  <c r="C12" i="2"/>
  <c r="G28" i="1" s="1"/>
  <c r="G8" i="1" l="1"/>
  <c r="G29" i="1"/>
  <c r="G12" i="1"/>
  <c r="H8" i="5" s="1"/>
  <c r="G31" i="1"/>
  <c r="G32" i="1"/>
  <c r="G9" i="1" l="1"/>
  <c r="H4" i="5"/>
  <c r="H5" i="5" s="1"/>
  <c r="G15" i="1"/>
  <c r="H11" i="5" s="1"/>
  <c r="G16" i="1"/>
  <c r="H12" i="5" s="1"/>
  <c r="G30" i="1"/>
  <c r="G14" i="1" l="1"/>
  <c r="H10" i="5" s="1"/>
  <c r="G13" i="1"/>
  <c r="H9" i="5" s="1"/>
</calcChain>
</file>

<file path=xl/comments1.xml><?xml version="1.0" encoding="utf-8"?>
<comments xmlns="http://schemas.openxmlformats.org/spreadsheetml/2006/main">
  <authors>
    <author xml:space="preserve"> </author>
    <author>Sergey Goncharenko</author>
  </authors>
  <commentList>
    <comment ref="B4" authorId="0" shapeId="0">
      <text>
        <r>
          <rPr>
            <b/>
            <sz val="9"/>
            <color indexed="81"/>
            <rFont val="Tahoma"/>
            <family val="2"/>
            <charset val="204"/>
          </rPr>
          <t>Enter</t>
        </r>
        <r>
          <rPr>
            <sz val="9"/>
            <color indexed="81"/>
            <rFont val="Tahoma"/>
            <family val="2"/>
            <charset val="204"/>
          </rPr>
          <t xml:space="preserve"> the number of virtual machines, hosts (including hosts in clusters), datastores, clusters and resource pools in your VMware infrastructure</t>
        </r>
      </text>
    </comment>
    <comment ref="F4" authorId="0" shapeId="0">
      <text>
        <r>
          <rPr>
            <sz val="9"/>
            <color indexed="81"/>
            <rFont val="Tahoma"/>
            <family val="2"/>
            <charset val="204"/>
          </rPr>
          <t>Recommended number of Veeam VMware Collectors for your virtual infrastructure</t>
        </r>
      </text>
    </comment>
    <comment ref="G7" authorId="0" shapeId="0">
      <text>
        <r>
          <rPr>
            <sz val="9"/>
            <color indexed="81"/>
            <rFont val="Tahoma"/>
            <family val="2"/>
            <charset val="204"/>
          </rPr>
          <t>Total disk space required to store VMware data in the Operational Database</t>
        </r>
      </text>
    </comment>
    <comment ref="B10" authorId="0" shapeId="0">
      <text>
        <r>
          <rPr>
            <b/>
            <sz val="9"/>
            <color indexed="81"/>
            <rFont val="Tahoma"/>
            <family val="2"/>
            <charset val="204"/>
          </rPr>
          <t>Change if required</t>
        </r>
        <r>
          <rPr>
            <sz val="9"/>
            <color indexed="81"/>
            <rFont val="Tahoma"/>
            <family val="2"/>
            <charset val="204"/>
          </rPr>
          <t xml:space="preserve">
Average number of hosts connected to the same datastore</t>
        </r>
      </text>
    </comment>
    <comment ref="G11" authorId="0" shapeId="0">
      <text>
        <r>
          <rPr>
            <sz val="9"/>
            <color indexed="81"/>
            <rFont val="Tahoma"/>
            <family val="2"/>
            <charset val="204"/>
          </rPr>
          <t>Disk space required to store VMware data in the Data Warehouse (per day, week, month, year and total for the full retention period)</t>
        </r>
      </text>
    </comment>
    <comment ref="B12" authorId="0" shapeId="0">
      <text>
        <r>
          <rPr>
            <b/>
            <sz val="9"/>
            <color indexed="81"/>
            <rFont val="Tahoma"/>
            <family val="2"/>
            <charset val="204"/>
          </rPr>
          <t>Change if required</t>
        </r>
        <r>
          <rPr>
            <sz val="9"/>
            <color indexed="81"/>
            <rFont val="Tahoma"/>
            <family val="2"/>
            <charset val="204"/>
          </rPr>
          <t xml:space="preserve">
Guest OS counters are collected for VMs with SCOM agent and windows OS</t>
        </r>
      </text>
    </comment>
    <comment ref="B14" authorId="0" shapeId="0">
      <text>
        <r>
          <rPr>
            <b/>
            <sz val="9"/>
            <color indexed="81"/>
            <rFont val="Tahoma"/>
            <family val="2"/>
            <charset val="204"/>
          </rPr>
          <t>Change if required</t>
        </r>
        <r>
          <rPr>
            <sz val="9"/>
            <color indexed="81"/>
            <rFont val="Tahoma"/>
            <family val="2"/>
            <charset val="204"/>
          </rPr>
          <t xml:space="preserve">
Configuration of a host. Try to be accurate, number of HBAs and storage paths significantly affect the result</t>
        </r>
      </text>
    </comment>
    <comment ref="G18" authorId="0" shapeId="0">
      <text>
        <r>
          <rPr>
            <sz val="9"/>
            <color indexed="81"/>
            <rFont val="Tahoma"/>
            <family val="2"/>
            <charset val="204"/>
          </rPr>
          <t>Disk space required to store daily virtual machine performance data in the Operational Database</t>
        </r>
      </text>
    </comment>
    <comment ref="G19" authorId="0" shapeId="0">
      <text>
        <r>
          <rPr>
            <sz val="9"/>
            <color indexed="81"/>
            <rFont val="Tahoma"/>
            <family val="2"/>
            <charset val="204"/>
          </rPr>
          <t>Disk space required to store virtual machine properties in the Operational Database</t>
        </r>
      </text>
    </comment>
    <comment ref="B20" authorId="0" shapeId="0">
      <text>
        <r>
          <rPr>
            <b/>
            <sz val="9"/>
            <color indexed="81"/>
            <rFont val="Tahoma"/>
            <family val="2"/>
            <charset val="204"/>
          </rPr>
          <t>Enter</t>
        </r>
        <r>
          <rPr>
            <sz val="9"/>
            <color indexed="81"/>
            <rFont val="Tahoma"/>
            <family val="2"/>
            <charset val="204"/>
          </rPr>
          <t xml:space="preserve"> the baseline interval between data collection operations 
in minutes (as defined in the Veeam Virtualization Extesions settings)</t>
        </r>
      </text>
    </comment>
    <comment ref="G20" authorId="0" shapeId="0">
      <text>
        <r>
          <rPr>
            <sz val="9"/>
            <color indexed="81"/>
            <rFont val="Tahoma"/>
            <family val="2"/>
            <charset val="204"/>
          </rPr>
          <t>Disk space required to store historical virtual machine data in the Data Warehouse</t>
        </r>
      </text>
    </comment>
    <comment ref="B22" authorId="0" shapeId="0">
      <text>
        <r>
          <rPr>
            <b/>
            <sz val="9"/>
            <color indexed="81"/>
            <rFont val="Tahoma"/>
            <family val="2"/>
            <charset val="204"/>
          </rPr>
          <t>Change if required</t>
        </r>
        <r>
          <rPr>
            <sz val="9"/>
            <color indexed="81"/>
            <rFont val="Tahoma"/>
            <family val="2"/>
            <charset val="204"/>
          </rPr>
          <t xml:space="preserve">
The number of days to keep data in the Operational Database</t>
        </r>
      </text>
    </comment>
    <comment ref="B24" authorId="0" shapeId="0">
      <text>
        <r>
          <rPr>
            <b/>
            <sz val="9"/>
            <color indexed="81"/>
            <rFont val="Tahoma"/>
            <family val="2"/>
            <charset val="204"/>
          </rPr>
          <t>Change if required</t>
        </r>
        <r>
          <rPr>
            <sz val="9"/>
            <color indexed="81"/>
            <rFont val="Tahoma"/>
            <family val="2"/>
            <charset val="204"/>
          </rPr>
          <t xml:space="preserve">
Retention period for non-Raw data in DW DB</t>
        </r>
      </text>
    </comment>
    <comment ref="B26" authorId="0" shapeId="0">
      <text>
        <r>
          <rPr>
            <b/>
            <sz val="9"/>
            <color indexed="81"/>
            <rFont val="Tahoma"/>
            <family val="2"/>
            <charset val="204"/>
          </rPr>
          <t>Change if required</t>
        </r>
        <r>
          <rPr>
            <sz val="9"/>
            <color indexed="81"/>
            <rFont val="Tahoma"/>
            <family val="2"/>
            <charset val="204"/>
          </rPr>
          <t xml:space="preserve">
The number of days to keep data in Raw tables of DW DB</t>
        </r>
      </text>
    </comment>
    <comment ref="G26" authorId="0" shapeId="0">
      <text>
        <r>
          <rPr>
            <sz val="9"/>
            <color indexed="81"/>
            <rFont val="Tahoma"/>
            <family val="2"/>
            <charset val="204"/>
          </rPr>
          <t>Disk space required to store daily host performance data in the Operational Database</t>
        </r>
      </text>
    </comment>
    <comment ref="G27" authorId="0" shapeId="0">
      <text>
        <r>
          <rPr>
            <sz val="9"/>
            <color indexed="81"/>
            <rFont val="Tahoma"/>
            <family val="2"/>
            <charset val="204"/>
          </rPr>
          <t>Disk space required to store host properties in the Operational Database</t>
        </r>
      </text>
    </comment>
    <comment ref="G28" authorId="0" shapeId="0">
      <text>
        <r>
          <rPr>
            <sz val="9"/>
            <color indexed="81"/>
            <rFont val="Tahoma"/>
            <family val="2"/>
            <charset val="204"/>
          </rPr>
          <t>Disk space required to store historical host data in the Data Warehouse</t>
        </r>
      </text>
    </comment>
    <comment ref="B29" authorId="1" shapeId="0">
      <text>
        <r>
          <rPr>
            <sz val="9"/>
            <color indexed="81"/>
            <rFont val="Tahoma"/>
            <family val="2"/>
          </rPr>
          <t>Change if VM workflows are disabled using the corresponding Management Pack from the Resource Kit</t>
        </r>
      </text>
    </comment>
    <comment ref="G34" authorId="0" shapeId="0">
      <text>
        <r>
          <rPr>
            <sz val="9"/>
            <color indexed="81"/>
            <rFont val="Tahoma"/>
            <family val="2"/>
            <charset val="204"/>
          </rPr>
          <t>Disk space required to store daily datastore performance data in the Operational Database</t>
        </r>
      </text>
    </comment>
    <comment ref="G35" authorId="0" shapeId="0">
      <text>
        <r>
          <rPr>
            <sz val="9"/>
            <color indexed="81"/>
            <rFont val="Tahoma"/>
            <family val="2"/>
            <charset val="204"/>
          </rPr>
          <t>Disk space required to store datastore properties in the Operational Database</t>
        </r>
      </text>
    </comment>
    <comment ref="G36" authorId="0" shapeId="0">
      <text>
        <r>
          <rPr>
            <sz val="9"/>
            <color indexed="81"/>
            <rFont val="Tahoma"/>
            <family val="2"/>
            <charset val="204"/>
          </rPr>
          <t>Disk space required to store historical datastore data in the Data Warehouse</t>
        </r>
      </text>
    </comment>
  </commentList>
</comments>
</file>

<file path=xl/comments2.xml><?xml version="1.0" encoding="utf-8"?>
<comments xmlns="http://schemas.openxmlformats.org/spreadsheetml/2006/main">
  <authors>
    <author xml:space="preserve"> </author>
  </authors>
  <commentList>
    <comment ref="B2" authorId="0" shapeId="0">
      <text>
        <r>
          <rPr>
            <sz val="9"/>
            <color indexed="81"/>
            <rFont val="Tahoma"/>
            <family val="2"/>
            <charset val="204"/>
          </rPr>
          <t>Disk space required to store daily historical VM data in the Operational Database</t>
        </r>
      </text>
    </comment>
    <comment ref="C2" authorId="0" shapeId="0">
      <text>
        <r>
          <rPr>
            <sz val="9"/>
            <color indexed="81"/>
            <rFont val="Tahoma"/>
            <family val="2"/>
            <charset val="204"/>
          </rPr>
          <t>Disk space required to store daily historical VM data in the Data Warehouse</t>
        </r>
      </text>
    </comment>
    <comment ref="C6" authorId="0" shapeId="0">
      <text>
        <r>
          <rPr>
            <sz val="9"/>
            <color indexed="81"/>
            <rFont val="Tahoma"/>
            <family val="2"/>
            <charset val="204"/>
          </rPr>
          <t>Average number of events and alerts generated daily for a virtual machine</t>
        </r>
      </text>
    </comment>
    <comment ref="B10" authorId="0" shapeId="0">
      <text>
        <r>
          <rPr>
            <sz val="9"/>
            <color indexed="81"/>
            <rFont val="Tahoma"/>
            <family val="2"/>
            <charset val="204"/>
          </rPr>
          <t>Disk space required to store daily historical host data in the Configuration Database</t>
        </r>
      </text>
    </comment>
    <comment ref="C10" authorId="0" shapeId="0">
      <text>
        <r>
          <rPr>
            <sz val="9"/>
            <color indexed="81"/>
            <rFont val="Tahoma"/>
            <family val="2"/>
            <charset val="204"/>
          </rPr>
          <t>Disk space required to store daily historical host data in the Data Warehouse</t>
        </r>
      </text>
    </comment>
    <comment ref="C16" authorId="0" shapeId="0">
      <text>
        <r>
          <rPr>
            <sz val="9"/>
            <color indexed="81"/>
            <rFont val="Tahoma"/>
            <family val="2"/>
            <charset val="204"/>
          </rPr>
          <t>Average number of events and alerts generated daily for a host</t>
        </r>
      </text>
    </comment>
    <comment ref="B20" authorId="0" shapeId="0">
      <text>
        <r>
          <rPr>
            <sz val="9"/>
            <color indexed="81"/>
            <rFont val="Tahoma"/>
            <family val="2"/>
            <charset val="204"/>
          </rPr>
          <t>Disk space required to store daily historical data in the Configuration Database</t>
        </r>
      </text>
    </comment>
    <comment ref="C20" authorId="0" shapeId="0">
      <text>
        <r>
          <rPr>
            <sz val="9"/>
            <color indexed="81"/>
            <rFont val="Tahoma"/>
            <family val="2"/>
            <charset val="204"/>
          </rPr>
          <t>Disk space required to store daily historical data in the Data Warehouse</t>
        </r>
      </text>
    </comment>
    <comment ref="C25" authorId="0" shapeId="0">
      <text>
        <r>
          <rPr>
            <sz val="9"/>
            <color indexed="81"/>
            <rFont val="Tahoma"/>
            <family val="2"/>
            <charset val="204"/>
          </rPr>
          <t>Average number of events and alerts generated daily</t>
        </r>
      </text>
    </comment>
    <comment ref="B29" authorId="0" shapeId="0">
      <text>
        <r>
          <rPr>
            <sz val="9"/>
            <color indexed="81"/>
            <rFont val="Tahoma"/>
            <family val="2"/>
            <charset val="204"/>
          </rPr>
          <t>Disk space required to store a single event/alert in the Configuration Database</t>
        </r>
      </text>
    </comment>
    <comment ref="C29" authorId="0" shapeId="0">
      <text>
        <r>
          <rPr>
            <sz val="9"/>
            <color indexed="81"/>
            <rFont val="Tahoma"/>
            <family val="2"/>
            <charset val="204"/>
          </rPr>
          <t>Disk space required to store a single event/alert in the Data Warehouse</t>
        </r>
      </text>
    </comment>
    <comment ref="B35" authorId="0" shapeId="0">
      <text>
        <r>
          <rPr>
            <sz val="9"/>
            <color indexed="81"/>
            <rFont val="Tahoma"/>
            <family val="2"/>
            <charset val="204"/>
          </rPr>
          <t>Disk space required to store a single performance or state metric in corresponding Data Warehouse tables</t>
        </r>
      </text>
    </comment>
  </commentList>
</comments>
</file>

<file path=xl/comments3.xml><?xml version="1.0" encoding="utf-8"?>
<comments xmlns="http://schemas.openxmlformats.org/spreadsheetml/2006/main">
  <authors>
    <author xml:space="preserve"> </author>
  </authors>
  <commentList>
    <comment ref="B2" authorId="0" shapeId="0">
      <text>
        <r>
          <rPr>
            <sz val="9"/>
            <color indexed="81"/>
            <rFont val="Tahoma"/>
            <family val="2"/>
            <charset val="204"/>
          </rPr>
          <t>Disk space required to store daily historical VM data in the Operational Database</t>
        </r>
      </text>
    </comment>
    <comment ref="C2" authorId="0" shapeId="0">
      <text>
        <r>
          <rPr>
            <sz val="9"/>
            <color indexed="81"/>
            <rFont val="Tahoma"/>
            <family val="2"/>
            <charset val="204"/>
          </rPr>
          <t>Disk space required to store daily historical VM data in the Data Warehouse</t>
        </r>
      </text>
    </comment>
    <comment ref="C6" authorId="0" shapeId="0">
      <text>
        <r>
          <rPr>
            <sz val="9"/>
            <color indexed="81"/>
            <rFont val="Tahoma"/>
            <family val="2"/>
            <charset val="204"/>
          </rPr>
          <t>Average number of events and alerts generated daily for a virtual machine</t>
        </r>
      </text>
    </comment>
    <comment ref="B10" authorId="0" shapeId="0">
      <text>
        <r>
          <rPr>
            <sz val="9"/>
            <color indexed="81"/>
            <rFont val="Tahoma"/>
            <family val="2"/>
            <charset val="204"/>
          </rPr>
          <t>Disk space required to store daily historical host data in the Configuration Database</t>
        </r>
      </text>
    </comment>
    <comment ref="C10" authorId="0" shapeId="0">
      <text>
        <r>
          <rPr>
            <sz val="9"/>
            <color indexed="81"/>
            <rFont val="Tahoma"/>
            <family val="2"/>
            <charset val="204"/>
          </rPr>
          <t>Disk space required to store daily historical host data in the Data Warehouse</t>
        </r>
      </text>
    </comment>
    <comment ref="C16" authorId="0" shapeId="0">
      <text>
        <r>
          <rPr>
            <sz val="9"/>
            <color indexed="81"/>
            <rFont val="Tahoma"/>
            <family val="2"/>
            <charset val="204"/>
          </rPr>
          <t>Average number of events and alerts generated daily for a host</t>
        </r>
      </text>
    </comment>
    <comment ref="B20" authorId="0" shapeId="0">
      <text>
        <r>
          <rPr>
            <sz val="9"/>
            <color indexed="81"/>
            <rFont val="Tahoma"/>
            <family val="2"/>
            <charset val="204"/>
          </rPr>
          <t>Disk space required to store daily historical data in the Configuration Database</t>
        </r>
      </text>
    </comment>
    <comment ref="C20" authorId="0" shapeId="0">
      <text>
        <r>
          <rPr>
            <sz val="9"/>
            <color indexed="81"/>
            <rFont val="Tahoma"/>
            <family val="2"/>
            <charset val="204"/>
          </rPr>
          <t>Disk space required to store daily historical data in the Data Warehouse</t>
        </r>
      </text>
    </comment>
    <comment ref="C25" authorId="0" shapeId="0">
      <text>
        <r>
          <rPr>
            <sz val="9"/>
            <color indexed="81"/>
            <rFont val="Tahoma"/>
            <family val="2"/>
            <charset val="204"/>
          </rPr>
          <t>Average number of events and alerts generated daily</t>
        </r>
      </text>
    </comment>
    <comment ref="B29" authorId="0" shapeId="0">
      <text>
        <r>
          <rPr>
            <sz val="9"/>
            <color indexed="81"/>
            <rFont val="Tahoma"/>
            <family val="2"/>
            <charset val="204"/>
          </rPr>
          <t>Disk space required to store a single event/alert in the Configuration Database</t>
        </r>
      </text>
    </comment>
    <comment ref="C29" authorId="0" shapeId="0">
      <text>
        <r>
          <rPr>
            <sz val="9"/>
            <color indexed="81"/>
            <rFont val="Tahoma"/>
            <family val="2"/>
            <charset val="204"/>
          </rPr>
          <t>Disk space required to store a single event/alert in the Data Warehouse</t>
        </r>
      </text>
    </comment>
    <comment ref="B35" authorId="0" shapeId="0">
      <text>
        <r>
          <rPr>
            <sz val="9"/>
            <color indexed="81"/>
            <rFont val="Tahoma"/>
            <family val="2"/>
            <charset val="204"/>
          </rPr>
          <t>Disk space required to store a single performance or state metric in corresponding Data Warehouse tables</t>
        </r>
      </text>
    </comment>
  </commentList>
</comments>
</file>

<file path=xl/sharedStrings.xml><?xml version="1.0" encoding="utf-8"?>
<sst xmlns="http://schemas.openxmlformats.org/spreadsheetml/2006/main" count="340" uniqueCount="139">
  <si>
    <t>Operational Database and Data Warehouse Sizing Calculator</t>
  </si>
  <si>
    <t xml:space="preserve">Calculation results are based on the following parameters you need to provide: </t>
  </si>
  <si>
    <t>Instructions</t>
  </si>
  <si>
    <t>To estimate disk space required for the Operational Database and Data Warehouse as well as other deployment requirements:</t>
  </si>
  <si>
    <r>
      <t xml:space="preserve">3. On the </t>
    </r>
    <r>
      <rPr>
        <b/>
        <sz val="10"/>
        <color indexed="8"/>
        <rFont val="Calibri"/>
        <family val="2"/>
        <charset val="204"/>
      </rPr>
      <t>Calculator</t>
    </r>
    <r>
      <rPr>
        <sz val="10"/>
        <color indexed="8"/>
        <rFont val="Calibri"/>
        <family val="2"/>
      </rPr>
      <t xml:space="preserve"> worksheet in the </t>
    </r>
    <r>
      <rPr>
        <b/>
        <sz val="10"/>
        <color indexed="8"/>
        <rFont val="Calibri"/>
        <family val="2"/>
        <charset val="204"/>
      </rPr>
      <t>Parameters</t>
    </r>
    <r>
      <rPr>
        <sz val="10"/>
        <color indexed="8"/>
        <rFont val="Calibri"/>
        <family val="2"/>
      </rPr>
      <t xml:space="preserve"> column,  enter information about your VMware infrastructure inventory, data collection and publication settings. </t>
    </r>
    <r>
      <rPr>
        <sz val="10"/>
        <rFont val="Calibri"/>
        <family val="2"/>
        <charset val="204"/>
      </rPr>
      <t xml:space="preserve">Note that the </t>
    </r>
    <r>
      <rPr>
        <b/>
        <sz val="10"/>
        <color indexed="17"/>
        <rFont val="Calibri"/>
        <family val="2"/>
        <charset val="204"/>
      </rPr>
      <t>green</t>
    </r>
    <r>
      <rPr>
        <sz val="10"/>
        <color indexed="17"/>
        <rFont val="Calibri"/>
        <family val="2"/>
        <charset val="204"/>
      </rPr>
      <t xml:space="preserve"> </t>
    </r>
    <r>
      <rPr>
        <b/>
        <sz val="10"/>
        <color indexed="17"/>
        <rFont val="Calibri"/>
        <family val="2"/>
        <charset val="204"/>
      </rPr>
      <t>text color</t>
    </r>
    <r>
      <rPr>
        <sz val="10"/>
        <rFont val="Calibri"/>
        <family val="2"/>
        <charset val="204"/>
      </rPr>
      <t xml:space="preserve"> in cells indicates user-input values; the </t>
    </r>
    <r>
      <rPr>
        <b/>
        <sz val="10"/>
        <color indexed="23"/>
        <rFont val="Calibri"/>
        <family val="2"/>
        <charset val="204"/>
      </rPr>
      <t xml:space="preserve">grey text color </t>
    </r>
    <r>
      <rPr>
        <sz val="10"/>
        <rFont val="Calibri"/>
        <family val="2"/>
        <charset val="204"/>
      </rPr>
      <t>indicates that the values should not be changed.</t>
    </r>
  </si>
  <si>
    <t>PARAMETERS</t>
  </si>
  <si>
    <t>RESULTS</t>
  </si>
  <si>
    <t>Describe your monitoring requirements and VMware infrastructure</t>
  </si>
  <si>
    <t>Obtain calculation results</t>
  </si>
  <si>
    <t>Inventory</t>
  </si>
  <si>
    <t>Number of objects</t>
  </si>
  <si>
    <t>Recommended collectors</t>
  </si>
  <si>
    <t>VMs</t>
  </si>
  <si>
    <t>Hosts</t>
  </si>
  <si>
    <t>Datastores</t>
  </si>
  <si>
    <t>Operational DB</t>
  </si>
  <si>
    <t>Clusters</t>
  </si>
  <si>
    <t>Total per retention</t>
  </si>
  <si>
    <t>Mb</t>
  </si>
  <si>
    <t>Resource Pools</t>
  </si>
  <si>
    <t>Gb</t>
  </si>
  <si>
    <t>VM factors</t>
  </si>
  <si>
    <t>DW</t>
  </si>
  <si>
    <t>Total, per day</t>
  </si>
  <si>
    <t>Total, per week</t>
  </si>
  <si>
    <t>Host factors</t>
  </si>
  <si>
    <t>Total, per month</t>
  </si>
  <si>
    <t>Total, per year</t>
  </si>
  <si>
    <t>Average number of Sensors per Host</t>
  </si>
  <si>
    <t>Total VM performance per day</t>
  </si>
  <si>
    <t>OpsDB, bytes</t>
  </si>
  <si>
    <t>Total VM properties</t>
  </si>
  <si>
    <t>Total per VM per day</t>
  </si>
  <si>
    <t>DW, Kb</t>
  </si>
  <si>
    <t>Collection interval</t>
  </si>
  <si>
    <t>Total per VM per week</t>
  </si>
  <si>
    <t>Total per VM per month</t>
  </si>
  <si>
    <t>Total per VM per year</t>
  </si>
  <si>
    <t>Cluster</t>
  </si>
  <si>
    <t>Total Host performance per day</t>
  </si>
  <si>
    <t>Datastore</t>
  </si>
  <si>
    <t>Total Host properties</t>
  </si>
  <si>
    <t>Total per Host per day</t>
  </si>
  <si>
    <t>Total per Host per week</t>
  </si>
  <si>
    <t>Total per Host per month</t>
  </si>
  <si>
    <t>Total per Host per year</t>
  </si>
  <si>
    <t>Legend:</t>
  </si>
  <si>
    <t>user-supplied values</t>
  </si>
  <si>
    <t>constant, rarely changed or calculated values</t>
  </si>
  <si>
    <t>results</t>
  </si>
  <si>
    <t>Retention Operational DB</t>
  </si>
  <si>
    <t>Days</t>
  </si>
  <si>
    <t>Number of days to keep data</t>
  </si>
  <si>
    <t>DB</t>
  </si>
  <si>
    <t>Performance per day, bytes</t>
  </si>
  <si>
    <t>This worksheet contains baseline data used for calculation:</t>
  </si>
  <si>
    <t xml:space="preserve"> - VM itself</t>
  </si>
  <si>
    <r>
      <rPr>
        <sz val="11"/>
        <color indexed="8"/>
        <rFont val="Calibri"/>
        <family val="2"/>
        <charset val="204"/>
      </rPr>
      <t>•</t>
    </r>
    <r>
      <rPr>
        <sz val="11"/>
        <color theme="1"/>
        <rFont val="Calibri"/>
        <family val="2"/>
        <scheme val="minor"/>
      </rPr>
      <t xml:space="preserve"> Types of collected metrics
• Disk space calculations for metrics and events
• Structure of metric classes
• Space required to store class instances in the databases</t>
    </r>
  </si>
  <si>
    <t>Events per day</t>
  </si>
  <si>
    <t>Alerts per day</t>
  </si>
  <si>
    <t>State changes per day</t>
  </si>
  <si>
    <t xml:space="preserve"> - Core metrics</t>
  </si>
  <si>
    <t>Clusters, Datastores and Resource Pools</t>
  </si>
  <si>
    <t xml:space="preserve"> - Cluster</t>
  </si>
  <si>
    <t xml:space="preserve"> - Resource Pool</t>
  </si>
  <si>
    <t xml:space="preserve"> - Datastore</t>
  </si>
  <si>
    <t>Events &amp; Alerts average size</t>
  </si>
  <si>
    <t>Host HBA</t>
  </si>
  <si>
    <t>Average size of an event on disk</t>
  </si>
  <si>
    <t>Average size of an alert on disk</t>
  </si>
  <si>
    <t>Host NET</t>
  </si>
  <si>
    <t>Average size of a state change on disk</t>
  </si>
  <si>
    <t>DW sizing</t>
  </si>
  <si>
    <t>bytes</t>
  </si>
  <si>
    <t>PerfRaw</t>
  </si>
  <si>
    <t>PerfHourly</t>
  </si>
  <si>
    <t>PerfDaily</t>
  </si>
  <si>
    <t>StateRaw</t>
  </si>
  <si>
    <t>StateHourly</t>
  </si>
  <si>
    <t>StateDaily</t>
  </si>
  <si>
    <t>Collector Classes</t>
  </si>
  <si>
    <t>Property tables</t>
  </si>
  <si>
    <t>Performance</t>
  </si>
  <si>
    <t>counters per class</t>
  </si>
  <si>
    <t>counters per day</t>
  </si>
  <si>
    <t>ResourcePools</t>
  </si>
  <si>
    <t>HostStats</t>
  </si>
  <si>
    <t>SensorStats</t>
  </si>
  <si>
    <t>VMStats</t>
  </si>
  <si>
    <t>BaseManagedEntity</t>
  </si>
  <si>
    <t>DB sizing</t>
  </si>
  <si>
    <t>size for performance metric</t>
  </si>
  <si>
    <t>Datastore factors</t>
  </si>
  <si>
    <t>Average number of hosts connected to Datastore</t>
  </si>
  <si>
    <t>Percentage of Windows VMs with SCOM Agent</t>
  </si>
  <si>
    <t>VM in-Guest</t>
  </si>
  <si>
    <t xml:space="preserve"> - VM inGuest counters</t>
  </si>
  <si>
    <t xml:space="preserve"> - HBA</t>
  </si>
  <si>
    <t xml:space="preserve"> - Host Hardware Sensors</t>
  </si>
  <si>
    <t xml:space="preserve"> - Network Adapters</t>
  </si>
  <si>
    <t>Average number of HBA per Host</t>
  </si>
  <si>
    <t>Average number of NIC per Host</t>
  </si>
  <si>
    <t>Retention Raw Data in DW DB</t>
  </si>
  <si>
    <t>Overall Retention DW DB</t>
  </si>
  <si>
    <t>VM factors (Guest OS counters)</t>
  </si>
  <si>
    <t>Average size of a property change on disk</t>
  </si>
  <si>
    <t>Property changes per day</t>
  </si>
  <si>
    <t>Total per Datastore per day</t>
  </si>
  <si>
    <t>Total per Datastore per week</t>
  </si>
  <si>
    <t>Total per Datastoret per month</t>
  </si>
  <si>
    <t>Total per Datastore per year</t>
  </si>
  <si>
    <t>Total Datastore performance per day</t>
  </si>
  <si>
    <t>Total Datastore properties</t>
  </si>
  <si>
    <t>monitors per class</t>
  </si>
  <si>
    <t>State</t>
  </si>
  <si>
    <t>Total per VM per retention</t>
  </si>
  <si>
    <t>Total per Host per retention</t>
  </si>
  <si>
    <t>2. Determine the frequency of data collection and publication. Define an  interval at which data will be collected.</t>
  </si>
  <si>
    <t>The Veeam MP Database Sizing Calculator will help you calculate the expected size of databases to store historical VMware data and estimate the following deployment requirements:</t>
  </si>
  <si>
    <t>1. Investigate your VMware infrastructure to find out the number of hosts, clusters, virtual machines, resource pools, data storages to monitor as well as their configuration parameters.</t>
  </si>
  <si>
    <r>
      <t>The calculator will assist you in planning the deployment or scaling of a virtual infrastructure taking into account all major factors that impact the database size.</t>
    </r>
    <r>
      <rPr>
        <b/>
        <sz val="10"/>
        <rFont val="Calibri"/>
        <family val="2"/>
        <charset val="204"/>
      </rPr>
      <t/>
    </r>
  </si>
  <si>
    <t>Average number of storage paths via host HBA</t>
  </si>
  <si>
    <t>Number of Sensors classes (FAN, TMP, CPU, etc.)</t>
  </si>
  <si>
    <t>• VMware infrastructure inventory (number and configuration of objects in your VMware infrastructure)
• Data collection and publication settings (as defined via Veeam Web UI)</t>
  </si>
  <si>
    <r>
      <rPr>
        <b/>
        <sz val="11"/>
        <color indexed="8"/>
        <rFont val="Calibri"/>
        <family val="2"/>
        <charset val="204"/>
      </rPr>
      <t>NOTE</t>
    </r>
    <r>
      <rPr>
        <sz val="11"/>
        <color indexed="8"/>
        <rFont val="Calibri"/>
        <family val="2"/>
        <charset val="204"/>
      </rPr>
      <t>:</t>
    </r>
    <r>
      <rPr>
        <sz val="11"/>
        <color theme="1"/>
        <rFont val="Calibri"/>
        <family val="2"/>
        <scheme val="minor"/>
      </rPr>
      <t xml:space="preserve"> It's not recommended to change values on this worksheet.</t>
    </r>
  </si>
  <si>
    <t>VM Workflows Enabled (1=Enabled, 0=Disabled)</t>
  </si>
  <si>
    <t>High-Granularity Overhead</t>
  </si>
  <si>
    <t>Overhead</t>
  </si>
  <si>
    <t>Total</t>
  </si>
  <si>
    <t>Please specify number of objects with enabled advanced performance monitoring rues from High-Granularity MP</t>
  </si>
  <si>
    <t>Advanced monitoring can be enabled by importing High-Granularity Management Pack from Resource Kit, you will need to enable performance collection rules by adding objects to the advanced monitoring group, check Resource Kit User Guide for more information</t>
  </si>
  <si>
    <t>Disabled means that "Disable VM Workflows" MP is imported and enabled</t>
  </si>
  <si>
    <r>
      <t xml:space="preserve">• Recommended number of collectors to monitor your VMware infrastructure
</t>
    </r>
    <r>
      <rPr>
        <sz val="10"/>
        <rFont val="Calibri"/>
        <family val="2"/>
        <charset val="204"/>
      </rPr>
      <t>• Disk space required to store VMware historical data in the Operational Database
• Disk space required to store VMware historical data in the Reporting Data Warehouse
• Disk space overhead required to store advanced performance monitoring metrics from High-Granularitry MP</t>
    </r>
  </si>
  <si>
    <r>
      <rPr>
        <b/>
        <sz val="11"/>
        <rFont val="Calibri"/>
        <family val="2"/>
        <charset val="204"/>
      </rPr>
      <t xml:space="preserve">NOTES:
</t>
    </r>
    <r>
      <rPr>
        <sz val="10"/>
        <color indexed="8"/>
        <rFont val="Calibri"/>
        <family val="2"/>
      </rPr>
      <t xml:space="preserve">1. The calculator provides approximate estimations. There might be some insignificant gaps between calculated results and real values.
2. In some situations you may deal with an infrastructure of a mixed type, for example if you are planning to utilize hosts with 4 HBAs and 8 HBAs. To calculate the expected size of the databases, it is recommended to run calculation twice – once for each of the host types.
3. This calculator estimates the database size for Veeam Management Pack for VMware only. Data collected by Operation Manager core Mangement Packs and the Management Pack for Veeam Backup &amp; Replication or Veeam MP for Hyper-V is not taken into account.
</t>
    </r>
  </si>
  <si>
    <r>
      <t xml:space="preserve">The calculated results are available in the </t>
    </r>
    <r>
      <rPr>
        <b/>
        <sz val="10"/>
        <color indexed="8"/>
        <rFont val="Calibri"/>
        <family val="2"/>
        <charset val="204"/>
      </rPr>
      <t>Results</t>
    </r>
    <r>
      <rPr>
        <sz val="10"/>
        <color indexed="8"/>
        <rFont val="Calibri"/>
        <family val="2"/>
      </rPr>
      <t xml:space="preserve"> column on the </t>
    </r>
    <r>
      <rPr>
        <b/>
        <sz val="10"/>
        <color indexed="8"/>
        <rFont val="Calibri"/>
        <family val="2"/>
        <charset val="204"/>
      </rPr>
      <t>Calculator</t>
    </r>
    <r>
      <rPr>
        <sz val="10"/>
        <color indexed="8"/>
        <rFont val="Calibri"/>
        <family val="2"/>
        <charset val="204"/>
      </rPr>
      <t xml:space="preserve"> worksheet</t>
    </r>
    <r>
      <rPr>
        <sz val="10"/>
        <color indexed="8"/>
        <rFont val="Calibri"/>
        <family val="2"/>
      </rPr>
      <t xml:space="preserve">. If you have </t>
    </r>
    <r>
      <rPr>
        <b/>
        <sz val="10"/>
        <color indexed="8"/>
        <rFont val="Calibri"/>
        <family val="2"/>
      </rPr>
      <t>High-Granularity</t>
    </r>
    <r>
      <rPr>
        <sz val="10"/>
        <color indexed="8"/>
        <rFont val="Calibri"/>
        <family val="2"/>
      </rPr>
      <t xml:space="preserve"> Management pack enabled for some objects in the infrastructure, specify them in the </t>
    </r>
    <r>
      <rPr>
        <b/>
        <sz val="10"/>
        <color indexed="8"/>
        <rFont val="Calibri"/>
        <family val="2"/>
      </rPr>
      <t>High-Granularity</t>
    </r>
    <r>
      <rPr>
        <sz val="10"/>
        <color indexed="8"/>
        <rFont val="Calibri"/>
        <family val="2"/>
      </rPr>
      <t xml:space="preserve"> worksheet. The </t>
    </r>
    <r>
      <rPr>
        <b/>
        <sz val="10"/>
        <color indexed="8"/>
        <rFont val="Calibri"/>
        <family val="2"/>
      </rPr>
      <t>High-Granularity</t>
    </r>
    <r>
      <rPr>
        <sz val="10"/>
        <color indexed="8"/>
        <rFont val="Calibri"/>
        <family val="2"/>
      </rPr>
      <t xml:space="preserve"> worksheet will provide estimated overhead required to store this data and overall size of the database for all objects</t>
    </r>
  </si>
  <si>
    <t>Copyright © 2015 Veeam Software Inc. All rights reserved worldwide.</t>
  </si>
  <si>
    <t>VEEAM Management Pack 8.0 for VMware</t>
  </si>
  <si>
    <t>Hardware Sensors Enabled (1=Enabled, 0=Disabled)</t>
  </si>
  <si>
    <t>With High-Granularity</t>
  </si>
</sst>
</file>

<file path=xl/styles.xml><?xml version="1.0" encoding="utf-8"?>
<styleSheet xmlns="http://schemas.openxmlformats.org/spreadsheetml/2006/main" xmlns:mc="http://schemas.openxmlformats.org/markup-compatibility/2006" xmlns:x14ac="http://schemas.microsoft.com/office/spreadsheetml/2009/9/ac" mc:Ignorable="x14ac">
  <fonts count="42" x14ac:knownFonts="1">
    <font>
      <sz val="11"/>
      <color theme="1"/>
      <name val="Calibri"/>
      <family val="2"/>
      <scheme val="minor"/>
    </font>
    <font>
      <sz val="11"/>
      <color theme="1"/>
      <name val="Calibri"/>
      <family val="2"/>
      <charset val="204"/>
      <scheme val="minor"/>
    </font>
    <font>
      <sz val="11"/>
      <color indexed="8"/>
      <name val="Calibri"/>
      <family val="2"/>
      <charset val="204"/>
    </font>
    <font>
      <b/>
      <sz val="11"/>
      <color indexed="8"/>
      <name val="Calibri"/>
      <family val="2"/>
      <charset val="204"/>
    </font>
    <font>
      <b/>
      <sz val="9"/>
      <color indexed="81"/>
      <name val="Tahoma"/>
      <family val="2"/>
      <charset val="204"/>
    </font>
    <font>
      <sz val="9"/>
      <color indexed="81"/>
      <name val="Tahoma"/>
      <family val="2"/>
      <charset val="204"/>
    </font>
    <font>
      <b/>
      <sz val="11"/>
      <name val="Calibri"/>
      <family val="2"/>
      <charset val="204"/>
    </font>
    <font>
      <b/>
      <sz val="10"/>
      <color indexed="8"/>
      <name val="Calibri"/>
      <family val="2"/>
      <charset val="204"/>
    </font>
    <font>
      <sz val="10"/>
      <color indexed="8"/>
      <name val="Calibri"/>
      <family val="2"/>
    </font>
    <font>
      <sz val="10"/>
      <name val="Calibri"/>
      <family val="2"/>
      <charset val="204"/>
    </font>
    <font>
      <b/>
      <sz val="10"/>
      <color indexed="17"/>
      <name val="Calibri"/>
      <family val="2"/>
      <charset val="204"/>
    </font>
    <font>
      <sz val="10"/>
      <color indexed="17"/>
      <name val="Calibri"/>
      <family val="2"/>
      <charset val="204"/>
    </font>
    <font>
      <b/>
      <sz val="10"/>
      <color indexed="23"/>
      <name val="Calibri"/>
      <family val="2"/>
      <charset val="204"/>
    </font>
    <font>
      <sz val="10"/>
      <color indexed="8"/>
      <name val="Calibri"/>
      <family val="2"/>
      <charset val="204"/>
    </font>
    <font>
      <sz val="11"/>
      <color theme="1"/>
      <name val="Calibri"/>
      <family val="2"/>
      <charset val="204"/>
      <scheme val="minor"/>
    </font>
    <font>
      <b/>
      <sz val="11"/>
      <color theme="0"/>
      <name val="Calibri"/>
      <family val="2"/>
      <charset val="204"/>
      <scheme val="minor"/>
    </font>
    <font>
      <b/>
      <sz val="11"/>
      <color theme="1"/>
      <name val="Calibri"/>
      <family val="2"/>
      <charset val="204"/>
      <scheme val="minor"/>
    </font>
    <font>
      <sz val="10"/>
      <color theme="1"/>
      <name val="Calibri"/>
      <family val="2"/>
      <scheme val="minor"/>
    </font>
    <font>
      <sz val="11"/>
      <color theme="1" tint="0.34998626667073579"/>
      <name val="Calibri"/>
      <family val="2"/>
      <charset val="204"/>
      <scheme val="minor"/>
    </font>
    <font>
      <b/>
      <sz val="12"/>
      <color theme="0"/>
      <name val="Calibri"/>
      <family val="2"/>
      <charset val="204"/>
      <scheme val="minor"/>
    </font>
    <font>
      <sz val="11"/>
      <name val="Calibri"/>
      <family val="2"/>
      <scheme val="minor"/>
    </font>
    <font>
      <b/>
      <sz val="11"/>
      <color rgb="FF00642D"/>
      <name val="Calibri"/>
      <family val="2"/>
      <charset val="204"/>
      <scheme val="minor"/>
    </font>
    <font>
      <sz val="11"/>
      <color theme="1" tint="0.499984740745262"/>
      <name val="Calibri"/>
      <family val="2"/>
      <scheme val="minor"/>
    </font>
    <font>
      <b/>
      <sz val="11"/>
      <color theme="1" tint="0.499984740745262"/>
      <name val="Calibri"/>
      <family val="2"/>
      <scheme val="minor"/>
    </font>
    <font>
      <b/>
      <sz val="11"/>
      <color rgb="FF006600"/>
      <name val="Calibri"/>
      <family val="2"/>
      <charset val="204"/>
      <scheme val="minor"/>
    </font>
    <font>
      <b/>
      <sz val="11"/>
      <name val="Calibri"/>
      <family val="2"/>
      <charset val="204"/>
      <scheme val="minor"/>
    </font>
    <font>
      <b/>
      <sz val="20"/>
      <color rgb="FF009644"/>
      <name val="Calibri"/>
      <family val="2"/>
      <charset val="204"/>
      <scheme val="minor"/>
    </font>
    <font>
      <b/>
      <sz val="20"/>
      <color theme="3" tint="0.39997558519241921"/>
      <name val="Calibri"/>
      <family val="2"/>
      <charset val="204"/>
      <scheme val="minor"/>
    </font>
    <font>
      <b/>
      <sz val="12"/>
      <color theme="1"/>
      <name val="Calibri"/>
      <family val="2"/>
      <charset val="204"/>
      <scheme val="minor"/>
    </font>
    <font>
      <b/>
      <sz val="12"/>
      <color rgb="FF00642D"/>
      <name val="Calibri"/>
      <family val="2"/>
      <charset val="204"/>
      <scheme val="minor"/>
    </font>
    <font>
      <b/>
      <sz val="12"/>
      <color theme="1" tint="0.499984740745262"/>
      <name val="Calibri"/>
      <family val="2"/>
      <charset val="204"/>
      <scheme val="minor"/>
    </font>
    <font>
      <sz val="12"/>
      <color rgb="FF009644"/>
      <name val="Calibri"/>
      <family val="2"/>
      <charset val="204"/>
      <scheme val="minor"/>
    </font>
    <font>
      <sz val="10"/>
      <color theme="1"/>
      <name val="Calibri"/>
      <family val="2"/>
      <charset val="204"/>
    </font>
    <font>
      <sz val="10"/>
      <name val="Calibri"/>
      <family val="2"/>
      <charset val="204"/>
      <scheme val="minor"/>
    </font>
    <font>
      <sz val="22"/>
      <color rgb="FF009644"/>
      <name val="Calibri"/>
      <family val="2"/>
      <charset val="204"/>
      <scheme val="minor"/>
    </font>
    <font>
      <sz val="11"/>
      <name val="Calibri"/>
      <family val="2"/>
      <charset val="204"/>
      <scheme val="minor"/>
    </font>
    <font>
      <sz val="11"/>
      <color rgb="FF006100"/>
      <name val="Calibri"/>
      <family val="2"/>
      <charset val="204"/>
      <scheme val="minor"/>
    </font>
    <font>
      <b/>
      <sz val="11"/>
      <color rgb="FF006600"/>
      <name val="Calibri"/>
      <family val="2"/>
      <scheme val="minor"/>
    </font>
    <font>
      <b/>
      <sz val="10"/>
      <name val="Calibri"/>
      <family val="2"/>
      <charset val="204"/>
    </font>
    <font>
      <sz val="9"/>
      <color indexed="81"/>
      <name val="Tahoma"/>
      <family val="2"/>
    </font>
    <font>
      <b/>
      <sz val="11"/>
      <name val="Calibri"/>
      <family val="2"/>
      <scheme val="minor"/>
    </font>
    <font>
      <b/>
      <sz val="10"/>
      <color indexed="8"/>
      <name val="Calibri"/>
      <family val="2"/>
    </font>
  </fonts>
  <fills count="9">
    <fill>
      <patternFill patternType="none"/>
    </fill>
    <fill>
      <patternFill patternType="gray125"/>
    </fill>
    <fill>
      <patternFill patternType="solid">
        <fgColor rgb="FF009644"/>
        <bgColor indexed="64"/>
      </patternFill>
    </fill>
    <fill>
      <patternFill patternType="solid">
        <fgColor theme="0" tint="-4.9989318521683403E-2"/>
        <bgColor indexed="64"/>
      </patternFill>
    </fill>
    <fill>
      <patternFill patternType="solid">
        <fgColor theme="3" tint="0.39997558519241921"/>
        <bgColor indexed="64"/>
      </patternFill>
    </fill>
    <fill>
      <patternFill patternType="solid">
        <fgColor rgb="FFFFDC6D"/>
        <bgColor indexed="64"/>
      </patternFill>
    </fill>
    <fill>
      <patternFill patternType="solid">
        <fgColor theme="0"/>
        <bgColor indexed="64"/>
      </patternFill>
    </fill>
    <fill>
      <patternFill patternType="solid">
        <fgColor rgb="FFC6EFCE"/>
      </patternFill>
    </fill>
    <fill>
      <patternFill patternType="solid">
        <fgColor rgb="FFFFD279"/>
        <bgColor indexed="64"/>
      </patternFill>
    </fill>
  </fills>
  <borders count="12">
    <border>
      <left/>
      <right/>
      <top/>
      <bottom/>
      <diagonal/>
    </border>
    <border>
      <left style="medium">
        <color indexed="64"/>
      </left>
      <right/>
      <top/>
      <bottom/>
      <diagonal/>
    </border>
    <border>
      <left/>
      <right/>
      <top style="thin">
        <color theme="0"/>
      </top>
      <bottom/>
      <diagonal/>
    </border>
    <border>
      <left style="thin">
        <color theme="0"/>
      </left>
      <right/>
      <top style="thin">
        <color theme="0"/>
      </top>
      <bottom/>
      <diagonal/>
    </border>
    <border>
      <left/>
      <right style="thin">
        <color theme="0"/>
      </right>
      <top style="thin">
        <color theme="0"/>
      </top>
      <bottom/>
      <diagonal/>
    </border>
    <border>
      <left style="thin">
        <color theme="1" tint="0.499984740745262"/>
      </left>
      <right/>
      <top/>
      <bottom/>
      <diagonal/>
    </border>
    <border>
      <left/>
      <right/>
      <top style="thin">
        <color theme="1" tint="0.499984740745262"/>
      </top>
      <bottom/>
      <diagonal/>
    </border>
    <border>
      <left/>
      <right/>
      <top style="thin">
        <color theme="0" tint="-4.9989318521683403E-2"/>
      </top>
      <bottom style="thin">
        <color theme="0" tint="-4.9989318521683403E-2"/>
      </bottom>
      <diagonal/>
    </border>
    <border>
      <left/>
      <right/>
      <top style="medium">
        <color rgb="FF009644"/>
      </top>
      <bottom/>
      <diagonal/>
    </border>
    <border>
      <left/>
      <right/>
      <top/>
      <bottom style="medium">
        <color rgb="FF00964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left>
      <right style="thin">
        <color theme="0"/>
      </right>
      <top style="thin">
        <color theme="0"/>
      </top>
      <bottom/>
      <diagonal/>
    </border>
  </borders>
  <cellStyleXfs count="2">
    <xf numFmtId="0" fontId="0" fillId="0" borderId="0"/>
    <xf numFmtId="0" fontId="36" fillId="7" borderId="0" applyNumberFormat="0" applyBorder="0" applyAlignment="0" applyProtection="0"/>
  </cellStyleXfs>
  <cellXfs count="120">
    <xf numFmtId="0" fontId="0" fillId="0" borderId="0" xfId="0"/>
    <xf numFmtId="0" fontId="17" fillId="0" borderId="0" xfId="0" applyFont="1"/>
    <xf numFmtId="0" fontId="16" fillId="0" borderId="0" xfId="0" applyFont="1" applyBorder="1" applyAlignment="1">
      <alignment horizontal="left"/>
    </xf>
    <xf numFmtId="0" fontId="16" fillId="0" borderId="0" xfId="0" applyFont="1" applyBorder="1"/>
    <xf numFmtId="0" fontId="0" fillId="0" borderId="0" xfId="0" applyBorder="1"/>
    <xf numFmtId="0" fontId="0" fillId="0" borderId="1" xfId="0" applyFill="1" applyBorder="1"/>
    <xf numFmtId="0" fontId="18" fillId="0" borderId="0" xfId="0" applyFont="1" applyBorder="1"/>
    <xf numFmtId="0" fontId="19" fillId="2" borderId="0" xfId="0" applyFont="1" applyFill="1" applyBorder="1"/>
    <xf numFmtId="0" fontId="18" fillId="0" borderId="5" xfId="0" applyFont="1" applyBorder="1"/>
    <xf numFmtId="0" fontId="18" fillId="3" borderId="0" xfId="0" applyFont="1" applyFill="1" applyBorder="1"/>
    <xf numFmtId="0" fontId="18" fillId="0" borderId="6" xfId="0" applyFont="1" applyBorder="1"/>
    <xf numFmtId="0" fontId="19" fillId="2" borderId="0" xfId="0" applyFont="1" applyFill="1" applyBorder="1" applyAlignment="1">
      <alignment horizontal="center"/>
    </xf>
    <xf numFmtId="0" fontId="15" fillId="2" borderId="0" xfId="0" applyFont="1" applyFill="1" applyBorder="1"/>
    <xf numFmtId="0" fontId="19" fillId="2" borderId="0" xfId="0" applyFont="1" applyFill="1" applyBorder="1" applyAlignment="1">
      <alignment vertical="center"/>
    </xf>
    <xf numFmtId="0" fontId="20" fillId="0" borderId="7" xfId="0" applyFont="1" applyBorder="1"/>
    <xf numFmtId="0" fontId="21" fillId="0" borderId="7" xfId="0" applyFont="1" applyFill="1" applyBorder="1"/>
    <xf numFmtId="0" fontId="20" fillId="3" borderId="7" xfId="0" applyFont="1" applyFill="1" applyBorder="1"/>
    <xf numFmtId="0" fontId="21" fillId="3" borderId="7" xfId="0" applyFont="1" applyFill="1" applyBorder="1"/>
    <xf numFmtId="0" fontId="22" fillId="3" borderId="0" xfId="0" applyFont="1" applyFill="1" applyBorder="1" applyAlignment="1">
      <alignment horizontal="left"/>
    </xf>
    <xf numFmtId="0" fontId="18" fillId="0" borderId="0" xfId="0" applyFont="1" applyBorder="1" applyAlignment="1">
      <alignment horizontal="left"/>
    </xf>
    <xf numFmtId="0" fontId="24" fillId="3" borderId="0" xfId="0" applyFont="1" applyFill="1" applyBorder="1"/>
    <xf numFmtId="0" fontId="25" fillId="0" borderId="0" xfId="0" applyFont="1" applyFill="1" applyBorder="1"/>
    <xf numFmtId="0" fontId="26" fillId="0" borderId="0" xfId="0" applyFont="1" applyAlignment="1">
      <alignment horizontal="right"/>
    </xf>
    <xf numFmtId="0" fontId="27" fillId="0" borderId="0" xfId="0" applyFont="1"/>
    <xf numFmtId="0" fontId="14" fillId="0" borderId="0" xfId="0" applyFont="1"/>
    <xf numFmtId="0" fontId="19" fillId="4" borderId="0" xfId="0" applyFont="1" applyFill="1" applyBorder="1"/>
    <xf numFmtId="0" fontId="16" fillId="5" borderId="0" xfId="0" applyFont="1" applyFill="1" applyBorder="1"/>
    <xf numFmtId="0" fontId="16" fillId="6" borderId="0" xfId="0" applyFont="1" applyFill="1" applyBorder="1" applyAlignment="1">
      <alignment horizontal="left" vertical="center"/>
    </xf>
    <xf numFmtId="0" fontId="0" fillId="6" borderId="0" xfId="0" applyFill="1" applyBorder="1" applyAlignment="1">
      <alignment horizontal="left"/>
    </xf>
    <xf numFmtId="0" fontId="25" fillId="6" borderId="0" xfId="0" applyFont="1" applyFill="1" applyBorder="1"/>
    <xf numFmtId="0" fontId="0" fillId="3" borderId="0" xfId="0" applyFill="1" applyBorder="1" applyAlignment="1">
      <alignment horizontal="left" vertical="center"/>
    </xf>
    <xf numFmtId="0" fontId="16" fillId="3" borderId="0" xfId="0" applyFont="1" applyFill="1" applyBorder="1" applyAlignment="1">
      <alignment horizontal="left"/>
    </xf>
    <xf numFmtId="0" fontId="0" fillId="0" borderId="0" xfId="0" applyFill="1" applyBorder="1" applyAlignment="1">
      <alignment horizontal="left"/>
    </xf>
    <xf numFmtId="0" fontId="0" fillId="3" borderId="0" xfId="0" applyFill="1" applyBorder="1" applyAlignment="1">
      <alignment horizontal="left"/>
    </xf>
    <xf numFmtId="0" fontId="22" fillId="0" borderId="0" xfId="0" applyFont="1" applyFill="1" applyBorder="1" applyAlignment="1">
      <alignment horizontal="left"/>
    </xf>
    <xf numFmtId="0" fontId="22" fillId="0" borderId="0" xfId="0" applyFont="1" applyFill="1" applyBorder="1" applyAlignment="1"/>
    <xf numFmtId="0" fontId="22" fillId="3" borderId="6" xfId="0" applyFont="1" applyFill="1" applyBorder="1" applyAlignment="1">
      <alignment horizontal="left"/>
    </xf>
    <xf numFmtId="0" fontId="22" fillId="3" borderId="6" xfId="0" applyFont="1" applyFill="1" applyBorder="1" applyAlignment="1"/>
    <xf numFmtId="0" fontId="22" fillId="3" borderId="0" xfId="0" applyFont="1" applyFill="1" applyBorder="1" applyAlignment="1"/>
    <xf numFmtId="0" fontId="22" fillId="0" borderId="0" xfId="0" applyFont="1"/>
    <xf numFmtId="0" fontId="28" fillId="0" borderId="6" xfId="0" applyFont="1" applyBorder="1" applyAlignment="1">
      <alignment horizontal="right"/>
    </xf>
    <xf numFmtId="0" fontId="29" fillId="0" borderId="6" xfId="0" applyFont="1" applyBorder="1"/>
    <xf numFmtId="0" fontId="0" fillId="0" borderId="6" xfId="0" applyBorder="1"/>
    <xf numFmtId="0" fontId="0" fillId="0" borderId="0" xfId="0" applyFill="1" applyBorder="1"/>
    <xf numFmtId="0" fontId="30" fillId="0" borderId="0" xfId="0" applyFont="1" applyFill="1" applyBorder="1"/>
    <xf numFmtId="0" fontId="28" fillId="0" borderId="0" xfId="0" applyFont="1" applyFill="1" applyBorder="1"/>
    <xf numFmtId="0" fontId="20" fillId="0" borderId="0" xfId="0" applyFont="1" applyAlignment="1">
      <alignment wrapText="1"/>
    </xf>
    <xf numFmtId="0" fontId="31" fillId="0" borderId="0" xfId="0" applyFont="1" applyBorder="1" applyAlignment="1">
      <alignment wrapText="1"/>
    </xf>
    <xf numFmtId="0" fontId="0" fillId="0" borderId="8" xfId="0" applyBorder="1"/>
    <xf numFmtId="0" fontId="31" fillId="0" borderId="8" xfId="0" applyFont="1" applyBorder="1" applyAlignment="1">
      <alignment horizontal="left" wrapText="1"/>
    </xf>
    <xf numFmtId="0" fontId="31" fillId="0" borderId="8" xfId="0" applyFont="1" applyBorder="1" applyAlignment="1">
      <alignment wrapText="1"/>
    </xf>
    <xf numFmtId="0" fontId="17" fillId="0" borderId="0" xfId="0" applyFont="1" applyBorder="1" applyAlignment="1">
      <alignment wrapText="1"/>
    </xf>
    <xf numFmtId="0" fontId="32" fillId="0" borderId="0" xfId="0" applyFont="1" applyBorder="1" applyAlignment="1">
      <alignment wrapText="1"/>
    </xf>
    <xf numFmtId="0" fontId="29" fillId="0" borderId="0" xfId="0" applyFont="1" applyBorder="1" applyAlignment="1">
      <alignment wrapText="1"/>
    </xf>
    <xf numFmtId="0" fontId="33" fillId="0" borderId="0" xfId="0" applyFont="1" applyFill="1" applyBorder="1" applyAlignment="1">
      <alignment wrapText="1"/>
    </xf>
    <xf numFmtId="0" fontId="0" fillId="0" borderId="9" xfId="0" applyBorder="1"/>
    <xf numFmtId="0" fontId="0" fillId="0" borderId="9" xfId="0" applyBorder="1" applyAlignment="1">
      <alignment wrapText="1"/>
    </xf>
    <xf numFmtId="0" fontId="17" fillId="0" borderId="9" xfId="0" applyFont="1" applyFill="1" applyBorder="1" applyAlignment="1">
      <alignment wrapText="1"/>
    </xf>
    <xf numFmtId="0" fontId="0" fillId="0" borderId="0" xfId="0" applyBorder="1" applyAlignment="1">
      <alignment wrapText="1"/>
    </xf>
    <xf numFmtId="0" fontId="0" fillId="0" borderId="0" xfId="0" applyAlignment="1">
      <alignment wrapText="1"/>
    </xf>
    <xf numFmtId="0" fontId="18" fillId="3" borderId="6" xfId="0" applyFont="1" applyFill="1" applyBorder="1"/>
    <xf numFmtId="0" fontId="18" fillId="3" borderId="0" xfId="0" applyFont="1" applyFill="1" applyBorder="1" applyAlignment="1">
      <alignment horizontal="left"/>
    </xf>
    <xf numFmtId="0" fontId="31" fillId="0" borderId="9" xfId="0" applyFont="1" applyBorder="1" applyAlignment="1">
      <alignment wrapText="1"/>
    </xf>
    <xf numFmtId="0" fontId="34" fillId="0" borderId="0" xfId="0" applyFont="1" applyAlignment="1">
      <alignment wrapText="1"/>
    </xf>
    <xf numFmtId="0" fontId="17" fillId="0" borderId="8" xfId="0" applyFont="1" applyBorder="1" applyAlignment="1">
      <alignment wrapText="1"/>
    </xf>
    <xf numFmtId="0" fontId="36" fillId="7" borderId="0" xfId="1" applyBorder="1"/>
    <xf numFmtId="0" fontId="37" fillId="0" borderId="0" xfId="0" applyFont="1"/>
    <xf numFmtId="0" fontId="24" fillId="0" borderId="0" xfId="0" applyFont="1" applyBorder="1"/>
    <xf numFmtId="0" fontId="25" fillId="8" borderId="0" xfId="0" applyFont="1" applyFill="1" applyBorder="1"/>
    <xf numFmtId="0" fontId="16" fillId="8" borderId="0" xfId="0" applyFont="1" applyFill="1" applyBorder="1"/>
    <xf numFmtId="0" fontId="22" fillId="6" borderId="0" xfId="0" applyFont="1" applyFill="1" applyBorder="1" applyAlignment="1">
      <alignment horizontal="left"/>
    </xf>
    <xf numFmtId="0" fontId="23" fillId="6" borderId="0" xfId="0" applyFont="1" applyFill="1" applyBorder="1" applyAlignment="1"/>
    <xf numFmtId="0" fontId="0" fillId="0" borderId="3" xfId="0" applyBorder="1"/>
    <xf numFmtId="0" fontId="0" fillId="0" borderId="2" xfId="0" applyBorder="1"/>
    <xf numFmtId="0" fontId="0" fillId="0" borderId="4" xfId="0" applyBorder="1"/>
    <xf numFmtId="0" fontId="18" fillId="3" borderId="10" xfId="0" applyFont="1" applyFill="1" applyBorder="1"/>
    <xf numFmtId="0" fontId="0" fillId="0" borderId="11" xfId="0" applyBorder="1"/>
    <xf numFmtId="0" fontId="19" fillId="2" borderId="10" xfId="0" applyFont="1" applyFill="1" applyBorder="1"/>
    <xf numFmtId="0" fontId="15" fillId="2" borderId="10" xfId="0" applyFont="1" applyFill="1" applyBorder="1" applyAlignment="1">
      <alignment horizontal="center"/>
    </xf>
    <xf numFmtId="0" fontId="15" fillId="2" borderId="10" xfId="0" applyFont="1" applyFill="1" applyBorder="1"/>
    <xf numFmtId="0" fontId="18" fillId="0" borderId="10" xfId="0" applyFont="1" applyBorder="1"/>
    <xf numFmtId="0" fontId="36" fillId="7" borderId="10" xfId="1" applyBorder="1"/>
    <xf numFmtId="0" fontId="24" fillId="0" borderId="7" xfId="0" applyFont="1" applyBorder="1" applyAlignment="1"/>
    <xf numFmtId="0" fontId="37" fillId="0" borderId="0" xfId="0" applyFont="1" applyBorder="1" applyAlignment="1"/>
    <xf numFmtId="0" fontId="37" fillId="3" borderId="0" xfId="0" applyFont="1" applyFill="1" applyBorder="1" applyAlignment="1"/>
    <xf numFmtId="0" fontId="37" fillId="6" borderId="0" xfId="0" applyFont="1" applyFill="1" applyBorder="1" applyAlignment="1"/>
    <xf numFmtId="0" fontId="35" fillId="0" borderId="7" xfId="0" applyFont="1" applyBorder="1" applyAlignment="1">
      <alignment horizontal="left"/>
    </xf>
    <xf numFmtId="0" fontId="20" fillId="0" borderId="0" xfId="0" applyFont="1" applyBorder="1" applyAlignment="1">
      <alignment horizontal="left"/>
    </xf>
    <xf numFmtId="0" fontId="20" fillId="3" borderId="0" xfId="0" applyFont="1" applyFill="1" applyBorder="1" applyAlignment="1">
      <alignment horizontal="left"/>
    </xf>
    <xf numFmtId="0" fontId="20" fillId="6" borderId="0" xfId="0" applyFont="1" applyFill="1" applyBorder="1" applyAlignment="1">
      <alignment horizontal="left"/>
    </xf>
    <xf numFmtId="0" fontId="35" fillId="0" borderId="0" xfId="0" applyFont="1" applyBorder="1"/>
    <xf numFmtId="0" fontId="18" fillId="6" borderId="10" xfId="0" applyFont="1" applyFill="1" applyBorder="1"/>
    <xf numFmtId="0" fontId="24" fillId="0" borderId="0" xfId="0" applyFont="1" applyBorder="1" applyAlignment="1"/>
    <xf numFmtId="0" fontId="24" fillId="3" borderId="0" xfId="0" applyFont="1" applyFill="1" applyBorder="1" applyAlignment="1"/>
    <xf numFmtId="0" fontId="24" fillId="0" borderId="6" xfId="0" applyFont="1" applyBorder="1" applyAlignment="1"/>
    <xf numFmtId="0" fontId="25" fillId="3" borderId="0" xfId="0" applyFont="1" applyFill="1" applyBorder="1"/>
    <xf numFmtId="0" fontId="15" fillId="2" borderId="10" xfId="0" applyFont="1" applyFill="1" applyBorder="1" applyAlignment="1">
      <alignment horizontal="center"/>
    </xf>
    <xf numFmtId="0" fontId="15" fillId="3" borderId="0" xfId="0" applyFont="1" applyFill="1" applyBorder="1"/>
    <xf numFmtId="0" fontId="32" fillId="3" borderId="0" xfId="0" applyFont="1" applyFill="1" applyBorder="1" applyAlignment="1">
      <alignment horizontal="left" vertical="top" wrapText="1" indent="1"/>
    </xf>
    <xf numFmtId="0" fontId="17" fillId="0" borderId="0" xfId="0" applyFont="1" applyBorder="1" applyAlignment="1">
      <alignment horizontal="left" wrapText="1"/>
    </xf>
    <xf numFmtId="0" fontId="32" fillId="0" borderId="0" xfId="0" applyFont="1" applyBorder="1" applyAlignment="1">
      <alignment horizontal="left" wrapText="1" indent="3"/>
    </xf>
    <xf numFmtId="0" fontId="32" fillId="0" borderId="0" xfId="0" applyFont="1" applyBorder="1" applyAlignment="1">
      <alignment horizontal="left" wrapText="1"/>
    </xf>
    <xf numFmtId="0" fontId="9" fillId="0" borderId="0" xfId="0" applyFont="1" applyBorder="1" applyAlignment="1">
      <alignment horizontal="left" wrapText="1"/>
    </xf>
    <xf numFmtId="0" fontId="17" fillId="0" borderId="8" xfId="0" applyFont="1" applyBorder="1" applyAlignment="1">
      <alignment horizontal="left" wrapText="1"/>
    </xf>
    <xf numFmtId="0" fontId="33" fillId="0" borderId="0" xfId="0" applyFont="1" applyFill="1" applyBorder="1" applyAlignment="1">
      <alignment horizontal="left" wrapText="1"/>
    </xf>
    <xf numFmtId="0" fontId="34" fillId="0" borderId="0" xfId="0" applyFont="1" applyAlignment="1">
      <alignment horizontal="left" wrapText="1"/>
    </xf>
    <xf numFmtId="0" fontId="17" fillId="0" borderId="0" xfId="0" applyFont="1" applyBorder="1" applyAlignment="1">
      <alignment horizontal="left" wrapText="1" indent="3"/>
    </xf>
    <xf numFmtId="0" fontId="31" fillId="0" borderId="9" xfId="0" applyFont="1" applyBorder="1" applyAlignment="1">
      <alignment horizontal="left" wrapText="1"/>
    </xf>
    <xf numFmtId="0" fontId="29" fillId="0" borderId="0" xfId="0" applyFont="1" applyBorder="1" applyAlignment="1">
      <alignment horizontal="left" wrapText="1"/>
    </xf>
    <xf numFmtId="0" fontId="35" fillId="0" borderId="0" xfId="0" applyFont="1" applyAlignment="1">
      <alignment horizontal="left"/>
    </xf>
    <xf numFmtId="0" fontId="20" fillId="0" borderId="0" xfId="0" applyFont="1" applyAlignment="1">
      <alignment horizontal="right" wrapText="1"/>
    </xf>
    <xf numFmtId="0" fontId="40" fillId="0" borderId="0" xfId="0" applyFont="1" applyAlignment="1">
      <alignment horizontal="center" vertical="center" wrapText="1"/>
    </xf>
    <xf numFmtId="0" fontId="40" fillId="0" borderId="0" xfId="0" applyFont="1" applyAlignment="1">
      <alignment horizontal="center" wrapText="1"/>
    </xf>
    <xf numFmtId="0" fontId="26" fillId="0" borderId="0" xfId="0" applyFont="1" applyAlignment="1">
      <alignment horizontal="center"/>
    </xf>
    <xf numFmtId="0" fontId="27" fillId="0" borderId="0" xfId="0" applyFont="1" applyAlignment="1">
      <alignment horizontal="center" vertical="top"/>
    </xf>
    <xf numFmtId="0" fontId="15" fillId="2" borderId="10" xfId="0" applyFont="1" applyFill="1" applyBorder="1" applyAlignment="1">
      <alignment horizontal="center"/>
    </xf>
    <xf numFmtId="0" fontId="19" fillId="2" borderId="10" xfId="0" applyFont="1" applyFill="1" applyBorder="1" applyAlignment="1">
      <alignment horizontal="center"/>
    </xf>
    <xf numFmtId="0" fontId="0" fillId="0" borderId="0" xfId="0" applyAlignment="1">
      <alignment horizontal="left" wrapText="1"/>
    </xf>
    <xf numFmtId="0" fontId="14" fillId="0" borderId="0" xfId="0" applyFont="1" applyAlignment="1">
      <alignment horizontal="left" wrapText="1" indent="3"/>
    </xf>
    <xf numFmtId="0" fontId="1" fillId="0" borderId="0" xfId="0" applyFont="1" applyAlignment="1">
      <alignment horizontal="left" wrapText="1"/>
    </xf>
  </cellXfs>
  <cellStyles count="2">
    <cellStyle name="Good" xfId="1" builtinId="26"/>
    <cellStyle name="Normal" xfId="0" builtinId="0"/>
  </cellStyles>
  <dxfs count="0"/>
  <tableStyles count="0" defaultTableStyle="TableStyleMedium9" defaultPivotStyle="PivotStyleLight16"/>
  <colors>
    <mruColors>
      <color rgb="FF006600"/>
      <color rgb="FFFFD279"/>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171450</xdr:colOff>
      <xdr:row>0</xdr:row>
      <xdr:rowOff>114300</xdr:rowOff>
    </xdr:from>
    <xdr:to>
      <xdr:col>15</xdr:col>
      <xdr:colOff>19050</xdr:colOff>
      <xdr:row>1</xdr:row>
      <xdr:rowOff>9525</xdr:rowOff>
    </xdr:to>
    <xdr:pic>
      <xdr:nvPicPr>
        <xdr:cNvPr id="3074" name="Picture 1" descr="veeam.png"/>
        <xdr:cNvPicPr>
          <a:picLocks noChangeAspect="1"/>
        </xdr:cNvPicPr>
      </xdr:nvPicPr>
      <xdr:blipFill>
        <a:blip xmlns:r="http://schemas.openxmlformats.org/officeDocument/2006/relationships" r:embed="rId1" cstate="print"/>
        <a:srcRect/>
        <a:stretch>
          <a:fillRect/>
        </a:stretch>
      </xdr:blipFill>
      <xdr:spPr bwMode="auto">
        <a:xfrm>
          <a:off x="7715250" y="114300"/>
          <a:ext cx="1428750" cy="3333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O21"/>
  <sheetViews>
    <sheetView showGridLines="0" tabSelected="1" workbookViewId="0">
      <selection activeCell="B1" sqref="B1:J1"/>
    </sheetView>
  </sheetViews>
  <sheetFormatPr defaultColWidth="5.42578125" defaultRowHeight="15" x14ac:dyDescent="0.25"/>
  <cols>
    <col min="1" max="1" width="5.42578125" customWidth="1"/>
    <col min="2" max="10" width="9.140625" style="59" customWidth="1"/>
    <col min="11" max="11" width="3" style="59" customWidth="1"/>
    <col min="12" max="12" width="11.140625" customWidth="1"/>
    <col min="13" max="13" width="11.28515625" customWidth="1"/>
    <col min="14" max="14" width="12.140625" customWidth="1"/>
    <col min="15" max="15" width="11.5703125" customWidth="1"/>
    <col min="16" max="250" width="9.140625" customWidth="1"/>
    <col min="251" max="251" width="5.42578125" customWidth="1"/>
    <col min="252" max="255" width="9.140625" customWidth="1"/>
  </cols>
  <sheetData>
    <row r="1" spans="1:15" ht="34.5" customHeight="1" x14ac:dyDescent="0.45">
      <c r="B1" s="105" t="s">
        <v>136</v>
      </c>
      <c r="C1" s="105"/>
      <c r="D1" s="105"/>
      <c r="E1" s="105"/>
      <c r="F1" s="105"/>
      <c r="G1" s="105"/>
      <c r="H1" s="105"/>
      <c r="I1" s="105"/>
      <c r="J1" s="105"/>
      <c r="K1" s="63"/>
      <c r="N1" s="4"/>
    </row>
    <row r="2" spans="1:15" ht="18" customHeight="1" thickBot="1" x14ac:dyDescent="0.3">
      <c r="A2" s="55"/>
      <c r="B2" s="107" t="s">
        <v>0</v>
      </c>
      <c r="C2" s="107"/>
      <c r="D2" s="107"/>
      <c r="E2" s="107"/>
      <c r="F2" s="107"/>
      <c r="G2" s="107"/>
      <c r="H2" s="107"/>
      <c r="I2" s="107"/>
      <c r="J2" s="62"/>
      <c r="K2" s="47"/>
      <c r="L2" s="4"/>
      <c r="M2" s="4"/>
      <c r="N2" s="4"/>
      <c r="O2" s="4"/>
    </row>
    <row r="3" spans="1:15" ht="6.75" customHeight="1" x14ac:dyDescent="0.25">
      <c r="A3" s="48"/>
      <c r="B3" s="49"/>
      <c r="C3" s="49"/>
      <c r="D3" s="49"/>
      <c r="E3" s="49"/>
      <c r="F3" s="49"/>
      <c r="G3" s="49"/>
      <c r="H3" s="49"/>
      <c r="I3" s="50"/>
      <c r="J3" s="50"/>
      <c r="K3" s="50"/>
      <c r="L3" s="48"/>
      <c r="M3" s="48"/>
      <c r="N3" s="48"/>
      <c r="O3" s="48"/>
    </row>
    <row r="4" spans="1:15" ht="25.5" customHeight="1" x14ac:dyDescent="0.25">
      <c r="A4" s="4"/>
      <c r="B4" s="99" t="s">
        <v>118</v>
      </c>
      <c r="C4" s="99"/>
      <c r="D4" s="99"/>
      <c r="E4" s="99"/>
      <c r="F4" s="99"/>
      <c r="G4" s="99"/>
      <c r="H4" s="99"/>
      <c r="I4" s="99"/>
      <c r="J4" s="99"/>
      <c r="K4" s="51"/>
      <c r="L4" s="98" t="s">
        <v>133</v>
      </c>
      <c r="M4" s="98"/>
      <c r="N4" s="98"/>
      <c r="O4" s="98"/>
    </row>
    <row r="5" spans="1:15" ht="65.25" customHeight="1" x14ac:dyDescent="0.25">
      <c r="A5" s="4"/>
      <c r="B5" s="100" t="s">
        <v>132</v>
      </c>
      <c r="C5" s="100"/>
      <c r="D5" s="100"/>
      <c r="E5" s="100"/>
      <c r="F5" s="100"/>
      <c r="G5" s="100"/>
      <c r="H5" s="100"/>
      <c r="I5" s="100"/>
      <c r="J5" s="100"/>
      <c r="K5" s="52"/>
      <c r="L5" s="98"/>
      <c r="M5" s="98"/>
      <c r="N5" s="98"/>
      <c r="O5" s="98"/>
    </row>
    <row r="6" spans="1:15" ht="16.5" customHeight="1" x14ac:dyDescent="0.25">
      <c r="A6" s="4"/>
      <c r="B6" s="101" t="s">
        <v>1</v>
      </c>
      <c r="C6" s="101"/>
      <c r="D6" s="101"/>
      <c r="E6" s="101"/>
      <c r="F6" s="101"/>
      <c r="G6" s="101"/>
      <c r="H6" s="101"/>
      <c r="I6" s="101"/>
      <c r="J6" s="101"/>
      <c r="K6" s="52"/>
      <c r="L6" s="98"/>
      <c r="M6" s="98"/>
      <c r="N6" s="98"/>
      <c r="O6" s="98"/>
    </row>
    <row r="7" spans="1:15" ht="42" customHeight="1" x14ac:dyDescent="0.25">
      <c r="A7" s="4"/>
      <c r="B7" s="100" t="s">
        <v>123</v>
      </c>
      <c r="C7" s="100"/>
      <c r="D7" s="100"/>
      <c r="E7" s="100"/>
      <c r="F7" s="100"/>
      <c r="G7" s="100"/>
      <c r="H7" s="100"/>
      <c r="I7" s="100"/>
      <c r="J7" s="100"/>
      <c r="K7" s="52"/>
      <c r="L7" s="98"/>
      <c r="M7" s="98"/>
      <c r="N7" s="98"/>
      <c r="O7" s="98"/>
    </row>
    <row r="8" spans="1:15" ht="33.75" customHeight="1" x14ac:dyDescent="0.25">
      <c r="A8" s="4"/>
      <c r="B8" s="102" t="s">
        <v>120</v>
      </c>
      <c r="C8" s="102"/>
      <c r="D8" s="102"/>
      <c r="E8" s="102"/>
      <c r="F8" s="102"/>
      <c r="G8" s="102"/>
      <c r="H8" s="102"/>
      <c r="I8" s="102"/>
      <c r="J8" s="102"/>
      <c r="K8" s="52"/>
      <c r="L8" s="98"/>
      <c r="M8" s="98"/>
      <c r="N8" s="98"/>
      <c r="O8" s="98"/>
    </row>
    <row r="9" spans="1:15" ht="21" customHeight="1" x14ac:dyDescent="0.25">
      <c r="A9" s="4"/>
      <c r="B9" s="108" t="s">
        <v>2</v>
      </c>
      <c r="C9" s="108"/>
      <c r="D9" s="108"/>
      <c r="E9" s="108"/>
      <c r="F9" s="108"/>
      <c r="G9" s="108"/>
      <c r="H9" s="108"/>
      <c r="I9" s="108"/>
      <c r="J9" s="108"/>
      <c r="K9" s="53"/>
      <c r="L9" s="98"/>
      <c r="M9" s="98"/>
      <c r="N9" s="98"/>
      <c r="O9" s="98"/>
    </row>
    <row r="10" spans="1:15" ht="27.75" customHeight="1" x14ac:dyDescent="0.25">
      <c r="A10" s="4"/>
      <c r="B10" s="104" t="s">
        <v>3</v>
      </c>
      <c r="C10" s="104"/>
      <c r="D10" s="104"/>
      <c r="E10" s="104"/>
      <c r="F10" s="104"/>
      <c r="G10" s="104"/>
      <c r="H10" s="104"/>
      <c r="I10" s="104"/>
      <c r="J10" s="104"/>
      <c r="K10" s="54"/>
      <c r="L10" s="98"/>
      <c r="M10" s="98"/>
      <c r="N10" s="98"/>
      <c r="O10" s="98"/>
    </row>
    <row r="11" spans="1:15" ht="30" customHeight="1" x14ac:dyDescent="0.25">
      <c r="A11" s="4"/>
      <c r="B11" s="106" t="s">
        <v>119</v>
      </c>
      <c r="C11" s="106"/>
      <c r="D11" s="106"/>
      <c r="E11" s="106"/>
      <c r="F11" s="106"/>
      <c r="G11" s="106"/>
      <c r="H11" s="106"/>
      <c r="I11" s="106"/>
      <c r="J11" s="106"/>
      <c r="K11" s="51"/>
      <c r="L11" s="98"/>
      <c r="M11" s="98"/>
      <c r="N11" s="98"/>
      <c r="O11" s="98"/>
    </row>
    <row r="12" spans="1:15" ht="25.5" customHeight="1" x14ac:dyDescent="0.25">
      <c r="A12" s="4"/>
      <c r="B12" s="106" t="s">
        <v>117</v>
      </c>
      <c r="C12" s="106"/>
      <c r="D12" s="106"/>
      <c r="E12" s="106"/>
      <c r="F12" s="106"/>
      <c r="G12" s="106"/>
      <c r="H12" s="106"/>
      <c r="I12" s="106"/>
      <c r="J12" s="106"/>
      <c r="K12" s="51"/>
      <c r="L12" s="98"/>
      <c r="M12" s="98"/>
      <c r="N12" s="98"/>
      <c r="O12" s="98"/>
    </row>
    <row r="13" spans="1:15" ht="54" customHeight="1" x14ac:dyDescent="0.25">
      <c r="A13" s="4"/>
      <c r="B13" s="106" t="s">
        <v>4</v>
      </c>
      <c r="C13" s="106"/>
      <c r="D13" s="106"/>
      <c r="E13" s="106"/>
      <c r="F13" s="106"/>
      <c r="G13" s="106"/>
      <c r="H13" s="106"/>
      <c r="I13" s="106"/>
      <c r="J13" s="106"/>
      <c r="K13" s="51"/>
      <c r="L13" s="98"/>
      <c r="M13" s="98"/>
      <c r="N13" s="98"/>
      <c r="O13" s="98"/>
    </row>
    <row r="14" spans="1:15" ht="48.75" customHeight="1" x14ac:dyDescent="0.25">
      <c r="A14" s="4"/>
      <c r="B14" s="99" t="s">
        <v>134</v>
      </c>
      <c r="C14" s="99"/>
      <c r="D14" s="99"/>
      <c r="E14" s="99"/>
      <c r="F14" s="99"/>
      <c r="G14" s="99"/>
      <c r="H14" s="99"/>
      <c r="I14" s="99"/>
      <c r="J14" s="99"/>
      <c r="K14" s="51"/>
      <c r="L14" s="98"/>
      <c r="M14" s="98"/>
      <c r="N14" s="98"/>
      <c r="O14" s="98"/>
    </row>
    <row r="15" spans="1:15" ht="8.25" customHeight="1" thickBot="1" x14ac:dyDescent="0.3">
      <c r="A15" s="55"/>
      <c r="B15" s="56"/>
      <c r="C15" s="56"/>
      <c r="D15" s="56"/>
      <c r="E15" s="56"/>
      <c r="F15" s="56"/>
      <c r="G15" s="56"/>
      <c r="H15" s="56"/>
      <c r="I15" s="56"/>
      <c r="J15" s="56"/>
      <c r="K15" s="56"/>
      <c r="L15" s="57"/>
      <c r="M15" s="57"/>
      <c r="N15" s="57"/>
      <c r="O15" s="57"/>
    </row>
    <row r="16" spans="1:15" ht="15" customHeight="1" x14ac:dyDescent="0.25">
      <c r="A16" s="4"/>
      <c r="B16" s="103" t="s">
        <v>135</v>
      </c>
      <c r="C16" s="103"/>
      <c r="D16" s="103"/>
      <c r="E16" s="103"/>
      <c r="F16" s="103"/>
      <c r="G16" s="103"/>
      <c r="H16" s="103"/>
      <c r="I16" s="103"/>
      <c r="J16" s="103"/>
      <c r="K16" s="103"/>
      <c r="L16" s="64"/>
      <c r="M16" s="64"/>
      <c r="N16" s="51"/>
      <c r="O16" s="51"/>
    </row>
    <row r="17" spans="1:15" x14ac:dyDescent="0.25">
      <c r="A17" s="4"/>
      <c r="B17" s="58"/>
      <c r="C17" s="58"/>
      <c r="D17" s="58"/>
      <c r="E17" s="58"/>
      <c r="F17" s="58"/>
      <c r="G17" s="58"/>
      <c r="H17" s="58"/>
      <c r="I17" s="58"/>
      <c r="J17" s="58"/>
      <c r="K17" s="58"/>
      <c r="N17" s="4"/>
      <c r="O17" s="4"/>
    </row>
    <row r="18" spans="1:15" x14ac:dyDescent="0.25">
      <c r="N18" s="4"/>
      <c r="O18" s="4"/>
    </row>
    <row r="19" spans="1:15" x14ac:dyDescent="0.25">
      <c r="N19" s="4"/>
      <c r="O19" s="4"/>
    </row>
    <row r="20" spans="1:15" x14ac:dyDescent="0.25">
      <c r="N20" s="4"/>
      <c r="O20" s="4"/>
    </row>
    <row r="21" spans="1:15" x14ac:dyDescent="0.25">
      <c r="O21" s="4"/>
    </row>
  </sheetData>
  <mergeCells count="15">
    <mergeCell ref="B16:K16"/>
    <mergeCell ref="B10:J10"/>
    <mergeCell ref="B1:J1"/>
    <mergeCell ref="B11:J11"/>
    <mergeCell ref="B12:J12"/>
    <mergeCell ref="B13:J13"/>
    <mergeCell ref="B2:I2"/>
    <mergeCell ref="B9:J9"/>
    <mergeCell ref="L4:O14"/>
    <mergeCell ref="B4:J4"/>
    <mergeCell ref="B5:J5"/>
    <mergeCell ref="B6:J6"/>
    <mergeCell ref="B7:J7"/>
    <mergeCell ref="B8:J8"/>
    <mergeCell ref="B14:J14"/>
  </mergeCells>
  <pageMargins left="0.7" right="0.7" top="0.75" bottom="0.75" header="0.3" footer="0.3"/>
  <pageSetup paperSize="9" orientation="portrait" verticalDpi="4294967294"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I50"/>
  <sheetViews>
    <sheetView showGridLines="0" zoomScale="90" zoomScaleNormal="90" workbookViewId="0">
      <selection activeCell="B21" sqref="B21"/>
    </sheetView>
  </sheetViews>
  <sheetFormatPr defaultRowHeight="15" x14ac:dyDescent="0.25"/>
  <cols>
    <col min="1" max="1" width="49.7109375" customWidth="1"/>
    <col min="2" max="2" width="19.28515625" customWidth="1"/>
    <col min="4" max="4" width="20.7109375" customWidth="1"/>
    <col min="5" max="5" width="35.42578125" bestFit="1" customWidth="1"/>
    <col min="6" max="6" width="27.42578125" customWidth="1"/>
    <col min="7" max="7" width="12.28515625" bestFit="1" customWidth="1"/>
    <col min="8" max="8" width="12.140625" bestFit="1" customWidth="1"/>
  </cols>
  <sheetData>
    <row r="1" spans="1:9" ht="26.25" x14ac:dyDescent="0.4">
      <c r="B1" s="22" t="s">
        <v>5</v>
      </c>
      <c r="E1" s="23" t="s">
        <v>6</v>
      </c>
    </row>
    <row r="2" spans="1:9" x14ac:dyDescent="0.25">
      <c r="I2" s="24"/>
    </row>
    <row r="3" spans="1:9" ht="15" customHeight="1" x14ac:dyDescent="0.25">
      <c r="A3" s="110" t="s">
        <v>7</v>
      </c>
      <c r="B3" s="110"/>
      <c r="C3" s="46"/>
      <c r="E3" s="109" t="s">
        <v>8</v>
      </c>
      <c r="F3" s="109"/>
      <c r="G3" s="109"/>
      <c r="I3" s="24"/>
    </row>
    <row r="4" spans="1:9" ht="15.75" x14ac:dyDescent="0.25">
      <c r="A4" s="13" t="s">
        <v>9</v>
      </c>
      <c r="B4" s="13" t="s">
        <v>10</v>
      </c>
      <c r="E4" s="25" t="s">
        <v>11</v>
      </c>
      <c r="F4" s="26">
        <f>CEILING((B5*56+B6*(106+B16*3+B15*6)+B7*35+B8*31+B9*13)/75000,1)</f>
        <v>1</v>
      </c>
    </row>
    <row r="5" spans="1:9" x14ac:dyDescent="0.25">
      <c r="A5" s="14" t="s">
        <v>12</v>
      </c>
      <c r="B5" s="15">
        <v>1000</v>
      </c>
      <c r="E5" s="27" t="s">
        <v>138</v>
      </c>
      <c r="F5" s="26">
        <f>CEILING(((B5*56+B6*(106+B16*3+B15*6)+B7*35+B8*31+B9*13)+('High-granularity'!B5*8+'High-granularity'!B6*(5+B16*4+B15*13)+'High-granularity'!B7*4+'High-granularity'!B8*0+'High-granularity'!B9*2))/75000,1)</f>
        <v>2</v>
      </c>
    </row>
    <row r="6" spans="1:9" x14ac:dyDescent="0.25">
      <c r="A6" s="16" t="s">
        <v>13</v>
      </c>
      <c r="B6" s="17">
        <v>50</v>
      </c>
    </row>
    <row r="7" spans="1:9" ht="15.75" x14ac:dyDescent="0.25">
      <c r="A7" s="14" t="s">
        <v>14</v>
      </c>
      <c r="B7" s="15">
        <v>250</v>
      </c>
      <c r="E7" s="25" t="s">
        <v>15</v>
      </c>
      <c r="F7" s="25"/>
      <c r="G7" s="25"/>
    </row>
    <row r="8" spans="1:9" x14ac:dyDescent="0.25">
      <c r="A8" s="16" t="s">
        <v>16</v>
      </c>
      <c r="B8" s="17">
        <v>5</v>
      </c>
      <c r="E8" s="27" t="s">
        <v>17</v>
      </c>
      <c r="F8" s="28" t="s">
        <v>18</v>
      </c>
      <c r="G8" s="29">
        <f>((B5*G18+B6*G26+B7*G34+B8*'Metrics&amp;Counters'!B22+B9*'Metrics&amp;Counters'!B23)*B23+B5*G19+B6*G27+B7*Calculator!G35+B8*('Metrics&amp;Counters'!B47+'Metrics&amp;Counters'!B56)+B9*('Metrics&amp;Counters'!B56+'Metrics&amp;Counters'!B48))/1024/1024</f>
        <v>4149.4599056243896</v>
      </c>
    </row>
    <row r="9" spans="1:9" x14ac:dyDescent="0.25">
      <c r="A9" s="14" t="s">
        <v>19</v>
      </c>
      <c r="B9" s="15">
        <v>25</v>
      </c>
      <c r="E9" s="30"/>
      <c r="F9" s="31" t="s">
        <v>20</v>
      </c>
      <c r="G9" s="69">
        <f>G8/1024</f>
        <v>4.052206939086318</v>
      </c>
    </row>
    <row r="10" spans="1:9" ht="15.75" x14ac:dyDescent="0.25">
      <c r="A10" s="7" t="s">
        <v>92</v>
      </c>
      <c r="B10" s="12"/>
    </row>
    <row r="11" spans="1:9" ht="15.75" x14ac:dyDescent="0.25">
      <c r="A11" s="86" t="s">
        <v>93</v>
      </c>
      <c r="B11" s="82">
        <v>15</v>
      </c>
      <c r="E11" s="25" t="s">
        <v>22</v>
      </c>
      <c r="F11" s="25"/>
      <c r="G11" s="25"/>
    </row>
    <row r="12" spans="1:9" ht="15.75" x14ac:dyDescent="0.25">
      <c r="A12" s="7" t="s">
        <v>104</v>
      </c>
      <c r="B12" s="12"/>
      <c r="E12" s="32" t="s">
        <v>23</v>
      </c>
      <c r="F12" s="32" t="s">
        <v>18</v>
      </c>
      <c r="G12" s="21">
        <f>(B5*G20+B6*G28+B7*G36+(B8*'Metrics&amp;Counters'!C22+B9*'Metrics&amp;Counters'!C23)/1024)/1024</f>
        <v>877.74813175201416</v>
      </c>
    </row>
    <row r="13" spans="1:9" x14ac:dyDescent="0.25">
      <c r="A13" s="86" t="s">
        <v>94</v>
      </c>
      <c r="B13" s="82">
        <v>50</v>
      </c>
      <c r="E13" s="33" t="s">
        <v>24</v>
      </c>
      <c r="F13" s="33" t="s">
        <v>18</v>
      </c>
      <c r="G13" s="95">
        <f>($B$5*G21+$B$6*G29+$B$7*G37+($B$8*'Metrics&amp;Counters'!$C$22+$B$9*'Metrics&amp;Counters'!$C$23)/1024)/1024</f>
        <v>6121.6201066970825</v>
      </c>
    </row>
    <row r="14" spans="1:9" ht="15.75" x14ac:dyDescent="0.25">
      <c r="A14" s="7" t="s">
        <v>25</v>
      </c>
      <c r="B14" s="12"/>
      <c r="E14" s="32" t="s">
        <v>26</v>
      </c>
      <c r="F14" s="32" t="s">
        <v>20</v>
      </c>
      <c r="G14" s="21">
        <f>($B$5*G22+$B$6*G30+$B$7*G38+($B$8*'Metrics&amp;Counters'!$C$22+$B$9*'Metrics&amp;Counters'!$C$23)/1024)/1024/1024</f>
        <v>15.630707214586437</v>
      </c>
    </row>
    <row r="15" spans="1:9" x14ac:dyDescent="0.25">
      <c r="A15" s="87" t="s">
        <v>100</v>
      </c>
      <c r="B15" s="83">
        <v>8</v>
      </c>
      <c r="E15" s="33" t="s">
        <v>27</v>
      </c>
      <c r="F15" s="33" t="s">
        <v>20</v>
      </c>
      <c r="G15" s="95">
        <f>($B$5*G23+$B$6*G31+$B$7*G39+($B$8*'Metrics&amp;Counters'!$C$22+$B$9*'Metrics&amp;Counters'!$C$23)/1024)/1024/1024</f>
        <v>134.4230173388496</v>
      </c>
    </row>
    <row r="16" spans="1:9" x14ac:dyDescent="0.25">
      <c r="A16" s="88" t="s">
        <v>101</v>
      </c>
      <c r="B16" s="84">
        <v>8</v>
      </c>
      <c r="E16" s="27" t="s">
        <v>17</v>
      </c>
      <c r="F16" s="32" t="s">
        <v>20</v>
      </c>
      <c r="G16" s="68">
        <f>($B$5*G24+$B$6*G32+$B$7*G40+($B$8*'Metrics&amp;Counters'!$C$22+$B$9*'Metrics&amp;Counters'!$C$23)/1024)/1024/1024</f>
        <v>146.83415421750396</v>
      </c>
    </row>
    <row r="17" spans="1:7" x14ac:dyDescent="0.25">
      <c r="A17" s="89" t="s">
        <v>28</v>
      </c>
      <c r="B17" s="85">
        <v>70</v>
      </c>
    </row>
    <row r="18" spans="1:7" x14ac:dyDescent="0.25">
      <c r="A18" s="88" t="s">
        <v>121</v>
      </c>
      <c r="B18" s="84">
        <v>4</v>
      </c>
      <c r="E18" s="18" t="s">
        <v>29</v>
      </c>
      <c r="F18" s="18" t="s">
        <v>30</v>
      </c>
      <c r="G18" s="38">
        <f>('Metrics&amp;Counters'!B4)+'Metrics&amp;Counters'!B5*Calculator!B13/100+'Metrics&amp;Counters'!C6*'Metrics&amp;Counters'!B30*B29+'Metrics&amp;Counters'!C7*'Metrics&amp;Counters'!B31*B29+'Metrics&amp;Counters'!C8*'Metrics&amp;Counters'!B32*B29+'Metrics&amp;Counters'!C9*'Metrics&amp;Counters'!B33</f>
        <v>405680</v>
      </c>
    </row>
    <row r="19" spans="1:7" x14ac:dyDescent="0.25">
      <c r="A19" s="70" t="s">
        <v>122</v>
      </c>
      <c r="B19" s="71">
        <v>7</v>
      </c>
      <c r="E19" s="34" t="s">
        <v>31</v>
      </c>
      <c r="F19" s="34" t="s">
        <v>30</v>
      </c>
      <c r="G19" s="35">
        <f>'Metrics&amp;Counters'!B54+'Metrics&amp;Counters'!B56</f>
        <v>5486</v>
      </c>
    </row>
    <row r="20" spans="1:7" ht="15.75" x14ac:dyDescent="0.25">
      <c r="A20" s="7" t="s">
        <v>34</v>
      </c>
      <c r="B20" s="20">
        <v>15</v>
      </c>
      <c r="E20" s="36" t="s">
        <v>32</v>
      </c>
      <c r="F20" s="36" t="s">
        <v>33</v>
      </c>
      <c r="G20" s="37">
        <f>('Metrics&amp;Counters'!C4+'Metrics&amp;Counters'!C5*Calculator!B13/100)/1024+('Metrics&amp;Counters'!C6*'Metrics&amp;Counters'!C30*B29+'Metrics&amp;Counters'!C7*'Metrics&amp;Counters'!C31*B29+'Metrics&amp;Counters'!C8*'Metrics&amp;Counters'!B39*'Metrics&amp;Counters'!F54*B29+'Metrics&amp;Counters'!B40*24*'Metrics&amp;Counters'!F54*B29+'Metrics&amp;Counters'!B41*'Metrics&amp;Counters'!F54*B29+'Metrics&amp;Counters'!C9*'Metrics&amp;Counters'!C33)/1024</f>
        <v>619.61083984375</v>
      </c>
    </row>
    <row r="21" spans="1:7" x14ac:dyDescent="0.25">
      <c r="E21" s="34" t="s">
        <v>35</v>
      </c>
      <c r="F21" s="34" t="s">
        <v>33</v>
      </c>
      <c r="G21" s="35">
        <f>G20*7-IF(B27&lt;7,(('Metrics&amp;Counters'!B36*'Metrics&amp;Counters'!D54*'Metrics&amp;Counters'!E54*B29)/1024)*(7-Calculator!B27),0)</f>
        <v>4337.27587890625</v>
      </c>
    </row>
    <row r="22" spans="1:7" ht="15.75" x14ac:dyDescent="0.25">
      <c r="A22" s="7" t="s">
        <v>50</v>
      </c>
      <c r="B22" s="11" t="s">
        <v>51</v>
      </c>
      <c r="E22" s="18" t="s">
        <v>36</v>
      </c>
      <c r="F22" s="18" t="s">
        <v>33</v>
      </c>
      <c r="G22" s="38">
        <f>G20*30-IF(B27&lt;30,(('Metrics&amp;Counters'!B36*'Metrics&amp;Counters'!D54*'Metrics&amp;Counters'!E54*B29)/1024)*(30-Calculator!B27),0)</f>
        <v>11613.3251953125</v>
      </c>
    </row>
    <row r="23" spans="1:7" x14ac:dyDescent="0.25">
      <c r="A23" s="90" t="s">
        <v>52</v>
      </c>
      <c r="B23" s="66">
        <v>7</v>
      </c>
      <c r="E23" s="34" t="s">
        <v>37</v>
      </c>
      <c r="F23" s="34" t="s">
        <v>33</v>
      </c>
      <c r="G23" s="35">
        <f>G20*365-IF(B27&lt;365,(('Metrics&amp;Counters'!B36*'Metrics&amp;Counters'!D54*'Metrics&amp;Counters'!E54*B29)/1024)*(365-Calculator!B27),0)</f>
        <v>102351.70654296875</v>
      </c>
    </row>
    <row r="24" spans="1:7" ht="15.75" x14ac:dyDescent="0.25">
      <c r="A24" s="7" t="s">
        <v>103</v>
      </c>
      <c r="B24" s="11" t="s">
        <v>51</v>
      </c>
      <c r="E24" s="18" t="s">
        <v>115</v>
      </c>
      <c r="F24" s="18" t="s">
        <v>33</v>
      </c>
      <c r="G24" s="38">
        <f>G20*B25-IF(B27&lt;B25,(('Metrics&amp;Counters'!B36*'Metrics&amp;Counters'!D54*'Metrics&amp;Counters'!E54*B29)/1024)*(B25-Calculator!B27),0)</f>
        <v>111831.8359375</v>
      </c>
    </row>
    <row r="25" spans="1:7" x14ac:dyDescent="0.25">
      <c r="A25" s="90" t="s">
        <v>52</v>
      </c>
      <c r="B25" s="67">
        <v>400</v>
      </c>
      <c r="E25" s="39"/>
      <c r="F25" s="39"/>
      <c r="G25" s="39"/>
    </row>
    <row r="26" spans="1:7" ht="15.75" x14ac:dyDescent="0.25">
      <c r="A26" s="7" t="s">
        <v>102</v>
      </c>
      <c r="B26" s="11" t="s">
        <v>51</v>
      </c>
      <c r="E26" s="18" t="s">
        <v>39</v>
      </c>
      <c r="F26" s="18" t="s">
        <v>30</v>
      </c>
      <c r="G26" s="38">
        <f>(B15*'Metrics&amp;Counters'!B13+'Metrics&amp;Counters'!B15+Calculator!B16*'Metrics&amp;Counters'!B14+'Metrics&amp;Counters'!B12)+'Metrics&amp;Counters'!C16*'Metrics&amp;Counters'!B30+'Metrics&amp;Counters'!C17*'Metrics&amp;Counters'!B31+'Metrics&amp;Counters'!C18*'Metrics&amp;Counters'!B32+'Metrics&amp;Counters'!C19*'Metrics&amp;Counters'!B33</f>
        <v>2212880</v>
      </c>
    </row>
    <row r="27" spans="1:7" x14ac:dyDescent="0.25">
      <c r="A27" s="90" t="s">
        <v>52</v>
      </c>
      <c r="B27" s="66">
        <v>10</v>
      </c>
      <c r="E27" s="34" t="s">
        <v>41</v>
      </c>
      <c r="F27" s="34" t="s">
        <v>30</v>
      </c>
      <c r="G27" s="35">
        <f>'Metrics&amp;Counters'!B49+'Metrics&amp;Counters'!B56+'Metrics&amp;Counters'!B50*Calculator!B15+'Metrics&amp;Counters'!B51*Calculator!B16</f>
        <v>41396</v>
      </c>
    </row>
    <row r="28" spans="1:7" x14ac:dyDescent="0.25">
      <c r="E28" s="36" t="s">
        <v>42</v>
      </c>
      <c r="F28" s="36" t="s">
        <v>33</v>
      </c>
      <c r="G28" s="37">
        <f>('Metrics&amp;Counters'!C12+B15*'Metrics&amp;Counters'!C13+Calculator!B16*'Metrics&amp;Counters'!C14+'Metrics&amp;Counters'!C15)/1024+('Metrics&amp;Counters'!C16*'Metrics&amp;Counters'!C30+'Metrics&amp;Counters'!C17*'Metrics&amp;Counters'!C31+'Metrics&amp;Counters'!C18*'Metrics&amp;Counters'!B39*('Metrics&amp;Counters'!F49+B15*'Metrics&amp;Counters'!F50+Calculator!B16*'Metrics&amp;Counters'!F51+Calculator!B19*'Metrics&amp;Counters'!F52)+'Metrics&amp;Counters'!B40*24*('Metrics&amp;Counters'!F49+B15*'Metrics&amp;Counters'!F50+Calculator!B16*'Metrics&amp;Counters'!F51+Calculator!B19*'Metrics&amp;Counters'!F52)+'Metrics&amp;Counters'!B41*('Metrics&amp;Counters'!F49+B15*'Metrics&amp;Counters'!F50+Calculator!B16*'Metrics&amp;Counters'!F51+Calculator!B19*'Metrics&amp;Counters'!F52))/1024</f>
        <v>2946.021484375</v>
      </c>
    </row>
    <row r="29" spans="1:7" ht="15.75" x14ac:dyDescent="0.25">
      <c r="A29" s="7" t="s">
        <v>125</v>
      </c>
      <c r="B29" s="20">
        <v>1</v>
      </c>
      <c r="E29" s="34" t="s">
        <v>43</v>
      </c>
      <c r="F29" s="34" t="s">
        <v>33</v>
      </c>
      <c r="G29" s="35">
        <f>G28*7-IF(B27&lt;7,(('Metrics&amp;Counters'!D49*'Metrics&amp;Counters'!E49*'Metrics&amp;Counters'!B36+B15*'Metrics&amp;Counters'!D50*'Metrics&amp;Counters'!E50*'Metrics&amp;Counters'!B36+Calculator!B16*'Metrics&amp;Counters'!D51*'Metrics&amp;Counters'!E51*'Metrics&amp;Counters'!B36+'Metrics&amp;Counters'!D52*'Metrics&amp;Counters'!E52*'Metrics&amp;Counters'!B36)/1024)*(7-Calculator!B27),0)</f>
        <v>20622.150390625</v>
      </c>
    </row>
    <row r="30" spans="1:7" ht="15" customHeight="1" x14ac:dyDescent="0.25">
      <c r="A30" t="s">
        <v>131</v>
      </c>
      <c r="E30" s="18" t="s">
        <v>44</v>
      </c>
      <c r="F30" s="18" t="s">
        <v>33</v>
      </c>
      <c r="G30" s="38">
        <f>G28*30-IF(B27&lt;30,(('Metrics&amp;Counters'!D49*'Metrics&amp;Counters'!E49*'Metrics&amp;Counters'!B36+B15*'Metrics&amp;Counters'!D50*'Metrics&amp;Counters'!E50*'Metrics&amp;Counters'!B36+Calculator!B16*'Metrics&amp;Counters'!D51*'Metrics&amp;Counters'!E51*'Metrics&amp;Counters'!B36+'Metrics&amp;Counters'!D52*'Metrics&amp;Counters'!E52*'Metrics&amp;Counters'!B36)/1024)*(30-Calculator!B27),0)</f>
        <v>51180.64453125</v>
      </c>
    </row>
    <row r="31" spans="1:7" x14ac:dyDescent="0.25">
      <c r="E31" s="34" t="s">
        <v>45</v>
      </c>
      <c r="F31" s="34" t="s">
        <v>33</v>
      </c>
      <c r="G31" s="35">
        <f>G28*365-IF(B27&lt;365,(('Metrics&amp;Counters'!D49*'Metrics&amp;Counters'!E49*'Metrics&amp;Counters'!B36+B15*'Metrics&amp;Counters'!D50*'Metrics&amp;Counters'!E50*'Metrics&amp;Counters'!B36+Calculator!B16*'Metrics&amp;Counters'!D51*'Metrics&amp;Counters'!E51*'Metrics&amp;Counters'!B36+'Metrics&amp;Counters'!D52*'Metrics&amp;Counters'!E52*'Metrics&amp;Counters'!B36)/1024)*(365-Calculator!B27),0)</f>
        <v>414997.841796875</v>
      </c>
    </row>
    <row r="32" spans="1:7" x14ac:dyDescent="0.25">
      <c r="B32" s="97">
        <v>0</v>
      </c>
      <c r="E32" s="18" t="s">
        <v>116</v>
      </c>
      <c r="F32" s="18" t="s">
        <v>33</v>
      </c>
      <c r="G32" s="38">
        <f>G28*B25-IF(B27&lt;B25,(('Metrics&amp;Counters'!D49*'Metrics&amp;Counters'!E49*'Metrics&amp;Counters'!B36+B15*'Metrics&amp;Counters'!D50*'Metrics&amp;Counters'!E50*'Metrics&amp;Counters'!B36+Calculator!B16*'Metrics&amp;Counters'!D51*'Metrics&amp;Counters'!E51*'Metrics&amp;Counters'!B36+'Metrics&amp;Counters'!D52*'Metrics&amp;Counters'!E52*'Metrics&amp;Counters'!B36)/1024)*(B25-Calculator!B27),0)</f>
        <v>453008.59375</v>
      </c>
    </row>
    <row r="33" spans="1:7" ht="15.75" x14ac:dyDescent="0.25">
      <c r="A33" s="7" t="s">
        <v>137</v>
      </c>
      <c r="B33" s="20">
        <v>1</v>
      </c>
      <c r="E33" s="34"/>
      <c r="F33" s="34"/>
      <c r="G33" s="35"/>
    </row>
    <row r="34" spans="1:7" x14ac:dyDescent="0.25">
      <c r="E34" s="18" t="s">
        <v>111</v>
      </c>
      <c r="F34" s="18" t="s">
        <v>30</v>
      </c>
      <c r="G34" s="38">
        <f>('Metrics&amp;Counters'!B24)+'Metrics&amp;Counters'!C25*'Metrics&amp;Counters'!B30+'Metrics&amp;Counters'!C26*'Metrics&amp;Counters'!B31+'Metrics&amp;Counters'!C27*'Metrics&amp;Counters'!B32+'Metrics&amp;Counters'!C28*'Metrics&amp;Counters'!B33</f>
        <v>410280</v>
      </c>
    </row>
    <row r="35" spans="1:7" x14ac:dyDescent="0.25">
      <c r="E35" s="34" t="s">
        <v>112</v>
      </c>
      <c r="F35" s="34" t="s">
        <v>30</v>
      </c>
      <c r="G35" s="35">
        <f>'Metrics&amp;Counters'!B53+'Metrics&amp;Counters'!B56</f>
        <v>4066</v>
      </c>
    </row>
    <row r="36" spans="1:7" x14ac:dyDescent="0.25">
      <c r="E36" s="36" t="s">
        <v>107</v>
      </c>
      <c r="F36" s="36" t="s">
        <v>33</v>
      </c>
      <c r="G36" s="37">
        <f>('Metrics&amp;Counters'!C24)/1024+('Metrics&amp;Counters'!C25*'Metrics&amp;Counters'!C30+'Metrics&amp;Counters'!C26*'Metrics&amp;Counters'!C31+'Metrics&amp;Counters'!C27*'Metrics&amp;Counters'!B39*'Metrics&amp;Counters'!F53+'Metrics&amp;Counters'!B40*24*'Metrics&amp;Counters'!F53+'Metrics&amp;Counters'!B41*'Metrics&amp;Counters'!F53)/1024</f>
        <v>512.1689453125</v>
      </c>
    </row>
    <row r="37" spans="1:7" x14ac:dyDescent="0.25">
      <c r="E37" s="34" t="s">
        <v>108</v>
      </c>
      <c r="F37" s="34" t="s">
        <v>33</v>
      </c>
      <c r="G37" s="35">
        <f>G36*7-IF(B27&lt;7,(('Metrics&amp;Counters'!B36*'Metrics&amp;Counters'!D53*'Metrics&amp;Counters'!E53)/1024)*(7-Calculator!B27),0)</f>
        <v>3585.1826171875</v>
      </c>
    </row>
    <row r="38" spans="1:7" x14ac:dyDescent="0.25">
      <c r="E38" s="18" t="s">
        <v>109</v>
      </c>
      <c r="F38" s="18" t="s">
        <v>33</v>
      </c>
      <c r="G38" s="38">
        <f>G36*30-IF(B27&lt;30,(('Metrics&amp;Counters'!B36*'Metrics&amp;Counters'!D53*'Metrics&amp;Counters'!E53)/1024)*(30-Calculator!B27),0)</f>
        <v>8855.068359375</v>
      </c>
    </row>
    <row r="39" spans="1:7" x14ac:dyDescent="0.25">
      <c r="E39" s="34" t="s">
        <v>110</v>
      </c>
      <c r="F39" s="34" t="s">
        <v>33</v>
      </c>
      <c r="G39" s="35">
        <f>G36*365-IF(B27&lt;365,(('Metrics&amp;Counters'!B36*'Metrics&amp;Counters'!D53*'Metrics&amp;Counters'!E53)/1024)*(365-Calculator!B27),0)</f>
        <v>71389.1650390625</v>
      </c>
    </row>
    <row r="40" spans="1:7" x14ac:dyDescent="0.25">
      <c r="E40" s="18" t="s">
        <v>110</v>
      </c>
      <c r="F40" s="18" t="s">
        <v>33</v>
      </c>
      <c r="G40" s="38">
        <f>G36*B25-IF(B27&lt;B25,(('Metrics&amp;Counters'!B36*'Metrics&amp;Counters'!D53*'Metrics&amp;Counters'!E53)/1024)*(B25-Calculator!B27),0)</f>
        <v>77922.578125</v>
      </c>
    </row>
    <row r="42" spans="1:7" ht="15.75" x14ac:dyDescent="0.25">
      <c r="E42" s="40" t="s">
        <v>46</v>
      </c>
      <c r="F42" s="41" t="s">
        <v>47</v>
      </c>
      <c r="G42" s="42"/>
    </row>
    <row r="43" spans="1:7" ht="15.75" x14ac:dyDescent="0.25">
      <c r="E43" s="43"/>
      <c r="F43" s="44" t="s">
        <v>48</v>
      </c>
      <c r="G43" s="43"/>
    </row>
    <row r="44" spans="1:7" ht="15.75" x14ac:dyDescent="0.25">
      <c r="E44" s="43"/>
      <c r="F44" s="45" t="s">
        <v>49</v>
      </c>
      <c r="G44" s="43"/>
    </row>
    <row r="46" spans="1:7" x14ac:dyDescent="0.25">
      <c r="A46" s="2"/>
    </row>
    <row r="47" spans="1:7" x14ac:dyDescent="0.25">
      <c r="A47" s="2"/>
      <c r="B47" s="3"/>
    </row>
    <row r="48" spans="1:7" x14ac:dyDescent="0.25">
      <c r="A48" s="2"/>
      <c r="B48" s="3"/>
    </row>
    <row r="49" spans="1:2" x14ac:dyDescent="0.25">
      <c r="B49" s="3"/>
    </row>
    <row r="50" spans="1:2" x14ac:dyDescent="0.25">
      <c r="A50" s="1"/>
    </row>
  </sheetData>
  <mergeCells count="2">
    <mergeCell ref="E3:G3"/>
    <mergeCell ref="A3:B3"/>
  </mergeCells>
  <pageMargins left="0.7" right="0.7" top="0.75" bottom="0.75" header="0.3" footer="0.3"/>
  <pageSetup paperSize="9" orientation="portrait" verticalDpi="20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showGridLines="0" zoomScale="90" zoomScaleNormal="90" workbookViewId="0">
      <selection activeCell="H4" sqref="H4"/>
    </sheetView>
  </sheetViews>
  <sheetFormatPr defaultRowHeight="15" x14ac:dyDescent="0.25"/>
  <cols>
    <col min="1" max="1" width="49.7109375" customWidth="1"/>
    <col min="2" max="2" width="19.28515625" customWidth="1"/>
    <col min="4" max="4" width="20.7109375" customWidth="1"/>
    <col min="5" max="5" width="35.42578125" bestFit="1" customWidth="1"/>
    <col min="6" max="6" width="27.42578125" customWidth="1"/>
    <col min="7" max="7" width="12.28515625" bestFit="1" customWidth="1"/>
    <col min="8" max="8" width="12.140625" bestFit="1" customWidth="1"/>
  </cols>
  <sheetData>
    <row r="1" spans="1:9" ht="26.25" x14ac:dyDescent="0.4">
      <c r="A1" s="113" t="s">
        <v>5</v>
      </c>
      <c r="B1" s="113"/>
      <c r="E1" s="114" t="s">
        <v>126</v>
      </c>
      <c r="F1" s="114"/>
      <c r="G1" s="114"/>
    </row>
    <row r="2" spans="1:9" x14ac:dyDescent="0.25">
      <c r="A2" s="112" t="s">
        <v>129</v>
      </c>
      <c r="B2" s="112"/>
      <c r="E2" s="114"/>
      <c r="F2" s="114"/>
      <c r="G2" s="114"/>
      <c r="I2" s="24"/>
    </row>
    <row r="3" spans="1:9" ht="15" customHeight="1" x14ac:dyDescent="0.25">
      <c r="A3" s="112"/>
      <c r="B3" s="112"/>
      <c r="C3" s="46"/>
      <c r="E3" s="25" t="s">
        <v>15</v>
      </c>
      <c r="F3" s="25"/>
      <c r="G3" s="25" t="s">
        <v>127</v>
      </c>
      <c r="H3" s="25" t="s">
        <v>128</v>
      </c>
      <c r="I3" s="24"/>
    </row>
    <row r="4" spans="1:9" ht="15.75" x14ac:dyDescent="0.25">
      <c r="A4" s="13" t="s">
        <v>9</v>
      </c>
      <c r="B4" s="13" t="s">
        <v>10</v>
      </c>
      <c r="E4" s="27" t="s">
        <v>17</v>
      </c>
      <c r="F4" s="28" t="s">
        <v>18</v>
      </c>
      <c r="G4" s="29">
        <f>((B5*G14+B6*G22+B7*G30+B8*'HG Metrics&amp;Counters'!B22+B9*'HG Metrics&amp;Counters'!B23)*Calculator!B23+B5*G15+B6*G23+B7*'High-granularity'!G31+B8*('HG Metrics&amp;Counters'!B47+'HG Metrics&amp;Counters'!B56)+B9*('HG Metrics&amp;Counters'!B56+'HG Metrics&amp;Counters'!B48))/1024/1024</f>
        <v>2383.9551315307617</v>
      </c>
      <c r="H4" s="29">
        <f>G4+Calculator!G8</f>
        <v>6533.4150371551514</v>
      </c>
    </row>
    <row r="5" spans="1:9" x14ac:dyDescent="0.25">
      <c r="A5" s="14" t="s">
        <v>12</v>
      </c>
      <c r="B5" s="15">
        <v>400</v>
      </c>
      <c r="E5" s="30"/>
      <c r="F5" s="31" t="s">
        <v>20</v>
      </c>
      <c r="G5" s="69">
        <f>G4/1024</f>
        <v>2.3280811831355095</v>
      </c>
      <c r="H5" s="69">
        <f>H4/1024</f>
        <v>6.3802881222218275</v>
      </c>
    </row>
    <row r="6" spans="1:9" x14ac:dyDescent="0.25">
      <c r="A6" s="16" t="s">
        <v>13</v>
      </c>
      <c r="B6" s="17">
        <v>25</v>
      </c>
    </row>
    <row r="7" spans="1:9" ht="15.75" x14ac:dyDescent="0.25">
      <c r="A7" s="14" t="s">
        <v>14</v>
      </c>
      <c r="B7" s="15">
        <v>100</v>
      </c>
      <c r="E7" s="25" t="s">
        <v>22</v>
      </c>
      <c r="F7" s="25"/>
      <c r="G7" s="25" t="s">
        <v>127</v>
      </c>
      <c r="H7" s="25" t="s">
        <v>128</v>
      </c>
    </row>
    <row r="8" spans="1:9" x14ac:dyDescent="0.25">
      <c r="A8" s="16" t="s">
        <v>16</v>
      </c>
      <c r="B8" s="17">
        <v>2</v>
      </c>
      <c r="E8" s="32" t="s">
        <v>23</v>
      </c>
      <c r="F8" s="32" t="s">
        <v>18</v>
      </c>
      <c r="G8" s="21">
        <f>(B5*G16+B6*G24+B7*G32+(B8*'HG Metrics&amp;Counters'!C22+B9*'HG Metrics&amp;Counters'!C23)/1024)/1024</f>
        <v>311.59270572662354</v>
      </c>
      <c r="H8" s="21">
        <f>G8+Calculator!G12</f>
        <v>1189.3408374786377</v>
      </c>
    </row>
    <row r="9" spans="1:9" x14ac:dyDescent="0.25">
      <c r="A9" s="14" t="s">
        <v>19</v>
      </c>
      <c r="B9" s="15">
        <v>12</v>
      </c>
      <c r="E9" s="33" t="s">
        <v>24</v>
      </c>
      <c r="F9" s="33" t="s">
        <v>18</v>
      </c>
      <c r="G9" s="95">
        <f>($B$5*G17+$B$6*G25+$B$7*G33+($B$8*'HG Metrics&amp;Counters'!$C$22+$B$9*'HG Metrics&amp;Counters'!$C$23)/1024)/1024</f>
        <v>2178.7364797592163</v>
      </c>
      <c r="H9" s="95">
        <f>G9+Calculator!G13</f>
        <v>8300.3565864562988</v>
      </c>
    </row>
    <row r="10" spans="1:9" x14ac:dyDescent="0.25">
      <c r="E10" s="32" t="s">
        <v>26</v>
      </c>
      <c r="F10" s="32" t="s">
        <v>20</v>
      </c>
      <c r="G10" s="21">
        <f>($B$5*G18+$B$6*G26+$B$7*G34+($B$8*'HG Metrics&amp;Counters'!$C$22+$B$9*'HG Metrics&amp;Counters'!$C$23)/1024)/1024/1024</f>
        <v>4.9986842628568411</v>
      </c>
      <c r="H10" s="21">
        <f>G10+Calculator!G14</f>
        <v>20.629391477443278</v>
      </c>
    </row>
    <row r="11" spans="1:9" ht="15" customHeight="1" x14ac:dyDescent="0.25">
      <c r="A11" s="111" t="s">
        <v>130</v>
      </c>
      <c r="B11" s="111"/>
      <c r="E11" s="33" t="s">
        <v>27</v>
      </c>
      <c r="F11" s="33" t="s">
        <v>20</v>
      </c>
      <c r="G11" s="95">
        <f>($B$5*G19+$B$6*G27+$B$7*G35+($B$8*'HG Metrics&amp;Counters'!$C$22+$B$9*'HG Metrics&amp;Counters'!$C$23)/1024)/1024/1024</f>
        <v>37.817304705269635</v>
      </c>
      <c r="H11" s="95">
        <f>G11+Calculator!G15</f>
        <v>172.24032204411924</v>
      </c>
    </row>
    <row r="12" spans="1:9" x14ac:dyDescent="0.25">
      <c r="A12" s="111"/>
      <c r="B12" s="111"/>
      <c r="E12" s="27" t="s">
        <v>17</v>
      </c>
      <c r="F12" s="32" t="s">
        <v>20</v>
      </c>
      <c r="G12" s="68">
        <f>($B$5*G20+$B$6*G28+$B$7*G36+($B$8*'HG Metrics&amp;Counters'!$C$22+$B$9*'HG Metrics&amp;Counters'!$C$23)/1024)/1024/1024</f>
        <v>41.246115796267986</v>
      </c>
      <c r="H12" s="68">
        <f>G12+Calculator!G16</f>
        <v>188.08027001377195</v>
      </c>
    </row>
    <row r="13" spans="1:9" x14ac:dyDescent="0.25">
      <c r="A13" s="111"/>
      <c r="B13" s="111"/>
    </row>
    <row r="14" spans="1:9" x14ac:dyDescent="0.25">
      <c r="A14" s="111"/>
      <c r="B14" s="111"/>
      <c r="E14" s="18" t="s">
        <v>29</v>
      </c>
      <c r="F14" s="18" t="s">
        <v>30</v>
      </c>
      <c r="G14" s="38">
        <f>('HG Metrics&amp;Counters'!B4)+'HG Metrics&amp;Counters'!B5*Calculator!B13/100</f>
        <v>153600</v>
      </c>
    </row>
    <row r="15" spans="1:9" x14ac:dyDescent="0.25">
      <c r="A15" s="111"/>
      <c r="B15" s="111"/>
      <c r="E15" s="34" t="s">
        <v>31</v>
      </c>
      <c r="F15" s="34" t="s">
        <v>30</v>
      </c>
      <c r="G15" s="35">
        <f>0</f>
        <v>0</v>
      </c>
    </row>
    <row r="16" spans="1:9" x14ac:dyDescent="0.25">
      <c r="E16" s="36" t="s">
        <v>32</v>
      </c>
      <c r="F16" s="36" t="s">
        <v>33</v>
      </c>
      <c r="G16" s="37">
        <f>('HG Metrics&amp;Counters'!C4+'HG Metrics&amp;Counters'!C5*Calculator!B13/100)/1024</f>
        <v>137.2421875</v>
      </c>
    </row>
    <row r="17" spans="1:7" x14ac:dyDescent="0.25">
      <c r="E17" s="34" t="s">
        <v>35</v>
      </c>
      <c r="F17" s="34" t="s">
        <v>33</v>
      </c>
      <c r="G17" s="35">
        <f>G16*7-IF(Calculator!B27&lt;7,(('HG Metrics&amp;Counters'!B36*'HG Metrics&amp;Counters'!D54*'HG Metrics&amp;Counters'!E54*Calculator!B29)/1024)*(7-Calculator!B27),0)</f>
        <v>960.6953125</v>
      </c>
    </row>
    <row r="18" spans="1:7" x14ac:dyDescent="0.25">
      <c r="E18" s="18" t="s">
        <v>36</v>
      </c>
      <c r="F18" s="18" t="s">
        <v>33</v>
      </c>
      <c r="G18" s="38">
        <f>G16*30-IF(Calculator!B27&lt;30,(('HG Metrics&amp;Counters'!B36*'HG Metrics&amp;Counters'!D54*'HG Metrics&amp;Counters'!E54*Calculator!B29)/1024)*(30-Calculator!B27),0)</f>
        <v>2257.265625</v>
      </c>
    </row>
    <row r="19" spans="1:7" x14ac:dyDescent="0.25">
      <c r="E19" s="34" t="s">
        <v>37</v>
      </c>
      <c r="F19" s="34" t="s">
        <v>33</v>
      </c>
      <c r="G19" s="35">
        <f>G16*365-IF(Calculator!B27&lt;365,(('HG Metrics&amp;Counters'!B36*'HG Metrics&amp;Counters'!D54*'HG Metrics&amp;Counters'!E54*Calculator!B29)/1024)*(365-Calculator!B27),0)</f>
        <v>17078.3984375</v>
      </c>
    </row>
    <row r="20" spans="1:7" x14ac:dyDescent="0.25">
      <c r="E20" s="18" t="s">
        <v>115</v>
      </c>
      <c r="F20" s="18" t="s">
        <v>33</v>
      </c>
      <c r="G20" s="38">
        <f>G16*Calculator!B25-IF(Calculator!B27&lt;Calculator!B25,(('HG Metrics&amp;Counters'!B36*'HG Metrics&amp;Counters'!D54*'HG Metrics&amp;Counters'!E54*Calculator!B29)/1024)*(Calculator!B25-Calculator!B27),0)</f>
        <v>18626.875</v>
      </c>
    </row>
    <row r="21" spans="1:7" x14ac:dyDescent="0.25">
      <c r="E21" s="39"/>
      <c r="F21" s="39"/>
      <c r="G21" s="39"/>
    </row>
    <row r="22" spans="1:7" x14ac:dyDescent="0.25">
      <c r="E22" s="18" t="s">
        <v>39</v>
      </c>
      <c r="F22" s="18" t="s">
        <v>30</v>
      </c>
      <c r="G22" s="38">
        <f>(Calculator!B15*'HG Metrics&amp;Counters'!B13+'HG Metrics&amp;Counters'!B15+Calculator!B16*'HG Metrics&amp;Counters'!B14+'HG Metrics&amp;Counters'!B12)</f>
        <v>7737600</v>
      </c>
    </row>
    <row r="23" spans="1:7" x14ac:dyDescent="0.25">
      <c r="E23" s="34" t="s">
        <v>41</v>
      </c>
      <c r="F23" s="34" t="s">
        <v>30</v>
      </c>
      <c r="G23" s="35">
        <v>0</v>
      </c>
    </row>
    <row r="24" spans="1:7" x14ac:dyDescent="0.25">
      <c r="A24" s="2"/>
      <c r="B24" s="3"/>
      <c r="E24" s="36" t="s">
        <v>42</v>
      </c>
      <c r="F24" s="36" t="s">
        <v>33</v>
      </c>
      <c r="G24" s="37">
        <f>('HG Metrics&amp;Counters'!C12+Calculator!B15*'HG Metrics&amp;Counters'!C13+Calculator!B16*'HG Metrics&amp;Counters'!C14+'HG Metrics&amp;Counters'!C15)/1024</f>
        <v>6913.5751953125</v>
      </c>
    </row>
    <row r="25" spans="1:7" x14ac:dyDescent="0.25">
      <c r="A25" s="2"/>
      <c r="B25" s="3"/>
      <c r="E25" s="34" t="s">
        <v>43</v>
      </c>
      <c r="F25" s="34" t="s">
        <v>33</v>
      </c>
      <c r="G25" s="35">
        <f>G24*7-IF(Calculator!B27&lt;7,(('HG Metrics&amp;Counters'!D49*'HG Metrics&amp;Counters'!E49*'HG Metrics&amp;Counters'!B36+Calculator!B15*'HG Metrics&amp;Counters'!D50*'HG Metrics&amp;Counters'!E50*'HG Metrics&amp;Counters'!B36+Calculator!B16*'HG Metrics&amp;Counters'!D51*'HG Metrics&amp;Counters'!E51*'HG Metrics&amp;Counters'!B36+'HG Metrics&amp;Counters'!D52*'HG Metrics&amp;Counters'!E52*'HG Metrics&amp;Counters'!B36)/1024)*(7-Calculator!B27),0)</f>
        <v>48395.0263671875</v>
      </c>
    </row>
    <row r="26" spans="1:7" x14ac:dyDescent="0.25">
      <c r="A26" s="2"/>
      <c r="B26" s="3"/>
      <c r="E26" s="18" t="s">
        <v>44</v>
      </c>
      <c r="F26" s="18" t="s">
        <v>33</v>
      </c>
      <c r="G26" s="38">
        <f>G24*30-IF(Calculator!B27&lt;30,(('HG Metrics&amp;Counters'!D49*'HG Metrics&amp;Counters'!E49*'HG Metrics&amp;Counters'!B36+Calculator!B15*'HG Metrics&amp;Counters'!D50*'HG Metrics&amp;Counters'!E50*'HG Metrics&amp;Counters'!B36+Calculator!B16*'HG Metrics&amp;Counters'!D51*'HG Metrics&amp;Counters'!E51*'HG Metrics&amp;Counters'!B36+'HG Metrics&amp;Counters'!D52*'HG Metrics&amp;Counters'!E52*'HG Metrics&amp;Counters'!B36)/1024)*(30-Calculator!B27),0)</f>
        <v>113709.755859375</v>
      </c>
    </row>
    <row r="27" spans="1:7" x14ac:dyDescent="0.25">
      <c r="E27" s="34" t="s">
        <v>45</v>
      </c>
      <c r="F27" s="34" t="s">
        <v>33</v>
      </c>
      <c r="G27" s="35">
        <f>G24*365-IF(Calculator!B27&lt;365,(('HG Metrics&amp;Counters'!D49*'HG Metrics&amp;Counters'!E49*'HG Metrics&amp;Counters'!B36+Calculator!B15*'HG Metrics&amp;Counters'!D50*'HG Metrics&amp;Counters'!E50*'HG Metrics&amp;Counters'!B36+Calculator!B16*'HG Metrics&amp;Counters'!D51*'HG Metrics&amp;Counters'!E51*'HG Metrics&amp;Counters'!B36+'HG Metrics&amp;Counters'!D52*'HG Metrics&amp;Counters'!E52*'HG Metrics&amp;Counters'!B36)/1024)*(365-Calculator!B27),0)</f>
        <v>860324.3212890625</v>
      </c>
    </row>
    <row r="28" spans="1:7" x14ac:dyDescent="0.25">
      <c r="A28" s="1"/>
      <c r="E28" s="18" t="s">
        <v>116</v>
      </c>
      <c r="F28" s="18" t="s">
        <v>33</v>
      </c>
      <c r="G28" s="38">
        <f>G24*Calculator!B25-IF(Calculator!B27&lt;Calculator!B25,(('HG Metrics&amp;Counters'!D49*'HG Metrics&amp;Counters'!E49*'HG Metrics&amp;Counters'!B36+Calculator!B15*'HG Metrics&amp;Counters'!D50*'HG Metrics&amp;Counters'!E50*'HG Metrics&amp;Counters'!B36+Calculator!B16*'HG Metrics&amp;Counters'!D51*'HG Metrics&amp;Counters'!E51*'HG Metrics&amp;Counters'!B36+'HG Metrics&amp;Counters'!D52*'HG Metrics&amp;Counters'!E52*'HG Metrics&amp;Counters'!B36)/1024)*(Calculator!B25-Calculator!B27),0)</f>
        <v>938328.828125</v>
      </c>
    </row>
    <row r="29" spans="1:7" x14ac:dyDescent="0.25">
      <c r="E29" s="34"/>
      <c r="F29" s="34"/>
      <c r="G29" s="35"/>
    </row>
    <row r="30" spans="1:7" ht="15" customHeight="1" x14ac:dyDescent="0.25">
      <c r="E30" s="18" t="s">
        <v>111</v>
      </c>
      <c r="F30" s="18" t="s">
        <v>30</v>
      </c>
      <c r="G30" s="38">
        <f>('HG Metrics&amp;Counters'!B24)</f>
        <v>1017600</v>
      </c>
    </row>
    <row r="31" spans="1:7" x14ac:dyDescent="0.25">
      <c r="E31" s="34" t="s">
        <v>112</v>
      </c>
      <c r="F31" s="34" t="s">
        <v>30</v>
      </c>
      <c r="G31" s="35">
        <v>0</v>
      </c>
    </row>
    <row r="32" spans="1:7" x14ac:dyDescent="0.25">
      <c r="E32" s="36" t="s">
        <v>107</v>
      </c>
      <c r="F32" s="36" t="s">
        <v>33</v>
      </c>
      <c r="G32" s="37">
        <f>('HG Metrics&amp;Counters'!C24)/1024</f>
        <v>909.2294921875</v>
      </c>
    </row>
    <row r="33" spans="5:7" x14ac:dyDescent="0.25">
      <c r="E33" s="34" t="s">
        <v>108</v>
      </c>
      <c r="F33" s="34" t="s">
        <v>33</v>
      </c>
      <c r="G33" s="35">
        <f>G32*7-IF(Calculator!B27&lt;7,(('HG Metrics&amp;Counters'!B36*'HG Metrics&amp;Counters'!D53*'HG Metrics&amp;Counters'!E53)/1024)*(7-Calculator!B27),0)</f>
        <v>6364.6064453125</v>
      </c>
    </row>
    <row r="34" spans="5:7" x14ac:dyDescent="0.25">
      <c r="E34" s="18" t="s">
        <v>109</v>
      </c>
      <c r="F34" s="18" t="s">
        <v>33</v>
      </c>
      <c r="G34" s="38">
        <f>G32*30-IF(Calculator!B27&lt;30,(('HG Metrics&amp;Counters'!B36*'HG Metrics&amp;Counters'!D53*'HG Metrics&amp;Counters'!E53)/1024)*(30-Calculator!B27),0)</f>
        <v>14954.384765625</v>
      </c>
    </row>
    <row r="35" spans="5:7" x14ac:dyDescent="0.25">
      <c r="E35" s="34" t="s">
        <v>110</v>
      </c>
      <c r="F35" s="34" t="s">
        <v>33</v>
      </c>
      <c r="G35" s="35">
        <f>G32*365-IF(Calculator!B27&lt;365,(('HG Metrics&amp;Counters'!B36*'HG Metrics&amp;Counters'!D53*'HG Metrics&amp;Counters'!E53)/1024)*(365-Calculator!B27),0)</f>
        <v>113144.3896484375</v>
      </c>
    </row>
    <row r="36" spans="5:7" x14ac:dyDescent="0.25">
      <c r="E36" s="18" t="s">
        <v>110</v>
      </c>
      <c r="F36" s="18" t="s">
        <v>33</v>
      </c>
      <c r="G36" s="38">
        <f>G32*Calculator!B25-IF(Calculator!B27&lt;Calculator!B25,(('HG Metrics&amp;Counters'!B36*'HG Metrics&amp;Counters'!D53*'HG Metrics&amp;Counters'!E53)/1024)*(Calculator!B25-Calculator!B27),0)</f>
        <v>123403.046875</v>
      </c>
    </row>
    <row r="38" spans="5:7" ht="15.75" x14ac:dyDescent="0.25">
      <c r="E38" s="40" t="s">
        <v>46</v>
      </c>
      <c r="F38" s="41" t="s">
        <v>47</v>
      </c>
      <c r="G38" s="42"/>
    </row>
    <row r="39" spans="5:7" ht="15.75" x14ac:dyDescent="0.25">
      <c r="E39" s="43"/>
      <c r="F39" s="44" t="s">
        <v>48</v>
      </c>
      <c r="G39" s="43"/>
    </row>
    <row r="40" spans="5:7" ht="15.75" x14ac:dyDescent="0.25">
      <c r="E40" s="43"/>
      <c r="F40" s="45" t="s">
        <v>49</v>
      </c>
      <c r="G40" s="43"/>
    </row>
  </sheetData>
  <mergeCells count="4">
    <mergeCell ref="A11:B15"/>
    <mergeCell ref="A2:B3"/>
    <mergeCell ref="A1:B1"/>
    <mergeCell ref="E1:G2"/>
  </mergeCells>
  <pageMargins left="0.7" right="0.7" top="0.75" bottom="0.75" header="0.3" footer="0.3"/>
  <pageSetup paperSize="9" orientation="portrait" verticalDpi="20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H59"/>
  <sheetViews>
    <sheetView showGridLines="0" topLeftCell="A34" zoomScale="90" zoomScaleNormal="90" workbookViewId="0">
      <selection activeCell="E53" sqref="E53"/>
    </sheetView>
  </sheetViews>
  <sheetFormatPr defaultRowHeight="15" x14ac:dyDescent="0.25"/>
  <cols>
    <col min="1" max="1" width="42.28515625" bestFit="1" customWidth="1"/>
    <col min="2" max="2" width="19" customWidth="1"/>
    <col min="3" max="3" width="19" bestFit="1" customWidth="1"/>
    <col min="4" max="4" width="19" customWidth="1"/>
    <col min="5" max="5" width="8.140625" customWidth="1"/>
    <col min="6" max="6" width="17" bestFit="1" customWidth="1"/>
    <col min="7" max="7" width="36" customWidth="1"/>
    <col min="8" max="8" width="29.42578125" customWidth="1"/>
    <col min="9" max="9" width="14.85546875" customWidth="1"/>
  </cols>
  <sheetData>
    <row r="1" spans="1:7" x14ac:dyDescent="0.25">
      <c r="A1" s="5"/>
    </row>
    <row r="2" spans="1:7" ht="15.75" x14ac:dyDescent="0.25">
      <c r="A2" s="7" t="s">
        <v>21</v>
      </c>
      <c r="B2" s="7" t="s">
        <v>53</v>
      </c>
      <c r="C2" s="7" t="s">
        <v>22</v>
      </c>
    </row>
    <row r="3" spans="1:7" x14ac:dyDescent="0.25">
      <c r="A3" s="6" t="s">
        <v>54</v>
      </c>
      <c r="B3" s="6"/>
      <c r="C3" s="6"/>
      <c r="E3" s="117" t="s">
        <v>55</v>
      </c>
      <c r="F3" s="117"/>
      <c r="G3" s="117"/>
    </row>
    <row r="4" spans="1:7" x14ac:dyDescent="0.25">
      <c r="A4" s="9" t="s">
        <v>56</v>
      </c>
      <c r="B4" s="65">
        <f xml:space="preserve"> B59 * (C54)*D54*Calculator!B29</f>
        <v>345600</v>
      </c>
      <c r="C4" s="65">
        <f xml:space="preserve"> E54*(B36*D54 + B37*24+B38)*Calculator!B29</f>
        <v>527010</v>
      </c>
      <c r="E4" s="117"/>
      <c r="F4" s="117"/>
      <c r="G4" s="117"/>
    </row>
    <row r="5" spans="1:7" ht="15" customHeight="1" x14ac:dyDescent="0.25">
      <c r="A5" s="6" t="s">
        <v>96</v>
      </c>
      <c r="B5" s="65">
        <f>B59*C55*D55*Calculator!B29</f>
        <v>96000</v>
      </c>
      <c r="C5" s="65">
        <f xml:space="preserve"> E55*(B36*D55 + B37*24+B38)*Calculator!B29</f>
        <v>87835</v>
      </c>
      <c r="E5" s="118" t="s">
        <v>57</v>
      </c>
      <c r="F5" s="118"/>
      <c r="G5" s="118"/>
    </row>
    <row r="6" spans="1:7" x14ac:dyDescent="0.25">
      <c r="A6" s="60" t="s">
        <v>58</v>
      </c>
      <c r="B6" s="93"/>
      <c r="C6" s="93">
        <v>0</v>
      </c>
      <c r="E6" s="118"/>
      <c r="F6" s="118"/>
      <c r="G6" s="118"/>
    </row>
    <row r="7" spans="1:7" x14ac:dyDescent="0.25">
      <c r="A7" s="6" t="s">
        <v>59</v>
      </c>
      <c r="C7" s="92">
        <v>2</v>
      </c>
      <c r="E7" s="118"/>
      <c r="F7" s="118"/>
      <c r="G7" s="118"/>
    </row>
    <row r="8" spans="1:7" x14ac:dyDescent="0.25">
      <c r="A8" s="9" t="s">
        <v>60</v>
      </c>
      <c r="B8" s="93"/>
      <c r="C8" s="93">
        <v>4</v>
      </c>
      <c r="E8" s="118"/>
      <c r="F8" s="118"/>
      <c r="G8" s="118"/>
    </row>
    <row r="9" spans="1:7" ht="15" customHeight="1" x14ac:dyDescent="0.25">
      <c r="A9" s="6" t="s">
        <v>106</v>
      </c>
      <c r="C9" s="92">
        <v>0.5</v>
      </c>
      <c r="E9" s="119" t="s">
        <v>124</v>
      </c>
      <c r="F9" s="117"/>
      <c r="G9" s="117"/>
    </row>
    <row r="10" spans="1:7" ht="15.75" x14ac:dyDescent="0.25">
      <c r="A10" s="7" t="s">
        <v>25</v>
      </c>
      <c r="B10" s="7" t="s">
        <v>53</v>
      </c>
      <c r="C10" s="7" t="s">
        <v>22</v>
      </c>
      <c r="E10" s="59"/>
      <c r="F10" s="59"/>
      <c r="G10" s="59"/>
    </row>
    <row r="11" spans="1:7" x14ac:dyDescent="0.25">
      <c r="A11" s="6" t="s">
        <v>54</v>
      </c>
      <c r="B11" s="6"/>
      <c r="C11" s="6"/>
      <c r="D11" s="6"/>
      <c r="E11" s="59"/>
      <c r="F11" s="59"/>
      <c r="G11" s="59"/>
    </row>
    <row r="12" spans="1:7" x14ac:dyDescent="0.25">
      <c r="A12" s="9" t="s">
        <v>61</v>
      </c>
      <c r="B12" s="65">
        <f xml:space="preserve"> B59*C49 *D49</f>
        <v>384000</v>
      </c>
      <c r="C12" s="65">
        <f xml:space="preserve"> E49*(B36*D49 + B37*24+B38)</f>
        <v>456742</v>
      </c>
      <c r="D12" s="6"/>
      <c r="E12" s="59"/>
      <c r="F12" s="59"/>
      <c r="G12" s="59"/>
    </row>
    <row r="13" spans="1:7" x14ac:dyDescent="0.25">
      <c r="A13" s="6" t="s">
        <v>97</v>
      </c>
      <c r="B13" s="65">
        <f xml:space="preserve"> B59*C50 * D50</f>
        <v>19200</v>
      </c>
      <c r="C13" s="65">
        <f xml:space="preserve"> E50*(B36*D50 + B37*24+B38)</f>
        <v>70268</v>
      </c>
      <c r="D13" s="6"/>
      <c r="E13" s="59"/>
      <c r="F13" s="59"/>
      <c r="G13" s="59"/>
    </row>
    <row r="14" spans="1:7" x14ac:dyDescent="0.25">
      <c r="A14" s="9" t="s">
        <v>99</v>
      </c>
      <c r="B14" s="65">
        <f xml:space="preserve"> B59*C51 *D51</f>
        <v>38400</v>
      </c>
      <c r="C14" s="65">
        <f xml:space="preserve"> E51*(B36*D51 + B37*24+B38)</f>
        <v>70268</v>
      </c>
      <c r="D14" s="6"/>
    </row>
    <row r="15" spans="1:7" x14ac:dyDescent="0.25">
      <c r="A15" s="6" t="s">
        <v>98</v>
      </c>
      <c r="B15" s="65">
        <f xml:space="preserve"> B59*C52 *D52</f>
        <v>1344000</v>
      </c>
      <c r="C15" s="65">
        <f xml:space="preserve"> E52*(B36*D52 + B37*24+B38)</f>
        <v>1229690</v>
      </c>
      <c r="D15" s="6"/>
    </row>
    <row r="16" spans="1:7" x14ac:dyDescent="0.25">
      <c r="A16" s="9" t="s">
        <v>58</v>
      </c>
      <c r="B16" s="9"/>
      <c r="C16" s="93">
        <v>4</v>
      </c>
      <c r="D16" s="6"/>
    </row>
    <row r="17" spans="1:4" x14ac:dyDescent="0.25">
      <c r="A17" s="6" t="s">
        <v>59</v>
      </c>
      <c r="C17" s="92">
        <v>2</v>
      </c>
      <c r="D17" s="6"/>
    </row>
    <row r="18" spans="1:4" x14ac:dyDescent="0.25">
      <c r="A18" s="9" t="s">
        <v>60</v>
      </c>
      <c r="B18" s="9"/>
      <c r="C18" s="93">
        <v>4</v>
      </c>
      <c r="D18" s="6"/>
    </row>
    <row r="19" spans="1:4" x14ac:dyDescent="0.25">
      <c r="A19" s="6" t="s">
        <v>106</v>
      </c>
      <c r="C19" s="92">
        <v>0.25</v>
      </c>
      <c r="D19" s="6"/>
    </row>
    <row r="20" spans="1:4" ht="15.75" x14ac:dyDescent="0.25">
      <c r="A20" s="7" t="s">
        <v>62</v>
      </c>
      <c r="B20" s="7" t="s">
        <v>53</v>
      </c>
      <c r="C20" s="7" t="s">
        <v>22</v>
      </c>
      <c r="D20" s="6"/>
    </row>
    <row r="21" spans="1:4" x14ac:dyDescent="0.25">
      <c r="A21" s="19" t="s">
        <v>54</v>
      </c>
      <c r="B21" s="6"/>
      <c r="C21" s="6"/>
      <c r="D21" s="6"/>
    </row>
    <row r="22" spans="1:4" x14ac:dyDescent="0.25">
      <c r="A22" s="61" t="s">
        <v>63</v>
      </c>
      <c r="B22" s="65">
        <f>B59*C47* D47</f>
        <v>288000</v>
      </c>
      <c r="C22" s="65">
        <f xml:space="preserve"> E47*(B36*D47 + B37*24+B38)</f>
        <v>263505</v>
      </c>
      <c r="D22" s="6"/>
    </row>
    <row r="23" spans="1:4" x14ac:dyDescent="0.25">
      <c r="A23" s="19" t="s">
        <v>64</v>
      </c>
      <c r="B23" s="65">
        <f>B59*C48* D48</f>
        <v>0</v>
      </c>
      <c r="C23" s="65">
        <f xml:space="preserve"> E48*(B36*D48 + B37*24+B38)</f>
        <v>105402</v>
      </c>
      <c r="D23" s="6"/>
    </row>
    <row r="24" spans="1:4" x14ac:dyDescent="0.25">
      <c r="A24" s="61" t="s">
        <v>65</v>
      </c>
      <c r="B24" s="65">
        <f>B59*C53* D53</f>
        <v>403200</v>
      </c>
      <c r="C24" s="65">
        <f xml:space="preserve"> E53*(B36*D53 + B37*24+B38)</f>
        <v>491876</v>
      </c>
      <c r="D24" s="6"/>
    </row>
    <row r="25" spans="1:4" x14ac:dyDescent="0.25">
      <c r="A25" s="10" t="s">
        <v>58</v>
      </c>
      <c r="B25" s="10"/>
      <c r="C25" s="94">
        <v>0</v>
      </c>
      <c r="D25" s="6"/>
    </row>
    <row r="26" spans="1:4" x14ac:dyDescent="0.25">
      <c r="A26" s="9" t="s">
        <v>59</v>
      </c>
      <c r="B26" s="9"/>
      <c r="C26" s="93">
        <v>1</v>
      </c>
      <c r="D26" s="6"/>
    </row>
    <row r="27" spans="1:4" x14ac:dyDescent="0.25">
      <c r="A27" s="6" t="s">
        <v>60</v>
      </c>
      <c r="C27" s="92">
        <v>4</v>
      </c>
      <c r="D27" s="6"/>
    </row>
    <row r="28" spans="1:4" x14ac:dyDescent="0.25">
      <c r="A28" s="9" t="s">
        <v>106</v>
      </c>
      <c r="B28" s="9"/>
      <c r="C28" s="93">
        <v>0.25</v>
      </c>
      <c r="D28" s="6"/>
    </row>
    <row r="29" spans="1:4" ht="15.75" x14ac:dyDescent="0.25">
      <c r="A29" s="7" t="s">
        <v>66</v>
      </c>
      <c r="B29" s="7" t="s">
        <v>53</v>
      </c>
      <c r="C29" s="7" t="s">
        <v>22</v>
      </c>
    </row>
    <row r="30" spans="1:4" x14ac:dyDescent="0.25">
      <c r="A30" s="6" t="s">
        <v>68</v>
      </c>
      <c r="B30" s="65">
        <v>3000</v>
      </c>
      <c r="C30" s="65">
        <v>4750</v>
      </c>
    </row>
    <row r="31" spans="1:4" x14ac:dyDescent="0.25">
      <c r="A31" s="9" t="s">
        <v>69</v>
      </c>
      <c r="B31" s="65">
        <v>5000</v>
      </c>
      <c r="C31" s="65">
        <v>1345</v>
      </c>
    </row>
    <row r="32" spans="1:4" x14ac:dyDescent="0.25">
      <c r="A32" s="6" t="s">
        <v>71</v>
      </c>
      <c r="B32" s="65">
        <v>520</v>
      </c>
      <c r="C32" s="65"/>
    </row>
    <row r="33" spans="1:6" x14ac:dyDescent="0.25">
      <c r="A33" s="9" t="s">
        <v>105</v>
      </c>
      <c r="B33" s="65"/>
      <c r="C33" s="65">
        <v>3016</v>
      </c>
    </row>
    <row r="35" spans="1:6" ht="15.75" x14ac:dyDescent="0.25">
      <c r="A35" s="7" t="s">
        <v>72</v>
      </c>
      <c r="B35" s="7" t="s">
        <v>73</v>
      </c>
    </row>
    <row r="36" spans="1:6" x14ac:dyDescent="0.25">
      <c r="A36" s="6" t="s">
        <v>74</v>
      </c>
      <c r="B36" s="65">
        <v>124</v>
      </c>
    </row>
    <row r="37" spans="1:6" x14ac:dyDescent="0.25">
      <c r="A37" s="9" t="s">
        <v>75</v>
      </c>
      <c r="B37" s="65">
        <v>226</v>
      </c>
    </row>
    <row r="38" spans="1:6" x14ac:dyDescent="0.25">
      <c r="A38" s="6" t="s">
        <v>76</v>
      </c>
      <c r="B38" s="65">
        <v>239</v>
      </c>
    </row>
    <row r="39" spans="1:6" x14ac:dyDescent="0.25">
      <c r="A39" s="9" t="s">
        <v>77</v>
      </c>
      <c r="B39" s="65">
        <v>77</v>
      </c>
    </row>
    <row r="40" spans="1:6" x14ac:dyDescent="0.25">
      <c r="A40" s="6" t="s">
        <v>78</v>
      </c>
      <c r="B40" s="65">
        <v>113</v>
      </c>
    </row>
    <row r="41" spans="1:6" x14ac:dyDescent="0.25">
      <c r="A41" s="9" t="s">
        <v>79</v>
      </c>
      <c r="B41" s="65">
        <v>104</v>
      </c>
    </row>
    <row r="43" spans="1:6" x14ac:dyDescent="0.25">
      <c r="A43" s="72"/>
      <c r="B43" s="76"/>
      <c r="C43" s="73"/>
      <c r="D43" s="73"/>
      <c r="E43" s="73"/>
      <c r="F43" s="74"/>
    </row>
    <row r="44" spans="1:6" ht="15.75" x14ac:dyDescent="0.25">
      <c r="A44" s="77"/>
      <c r="B44" s="116" t="s">
        <v>15</v>
      </c>
      <c r="C44" s="116"/>
      <c r="D44" s="116" t="s">
        <v>22</v>
      </c>
      <c r="E44" s="116"/>
      <c r="F44" s="116"/>
    </row>
    <row r="45" spans="1:6" ht="15.75" x14ac:dyDescent="0.25">
      <c r="A45" s="77" t="s">
        <v>80</v>
      </c>
      <c r="B45" s="78" t="s">
        <v>81</v>
      </c>
      <c r="C45" s="78" t="s">
        <v>82</v>
      </c>
      <c r="D45" s="115" t="s">
        <v>82</v>
      </c>
      <c r="E45" s="115"/>
      <c r="F45" s="78" t="s">
        <v>114</v>
      </c>
    </row>
    <row r="46" spans="1:6" ht="15.75" x14ac:dyDescent="0.25">
      <c r="A46" s="77"/>
      <c r="B46" s="79" t="s">
        <v>73</v>
      </c>
      <c r="C46" s="79" t="s">
        <v>83</v>
      </c>
      <c r="D46" s="79" t="s">
        <v>84</v>
      </c>
      <c r="E46" s="79" t="s">
        <v>83</v>
      </c>
      <c r="F46" s="79" t="s">
        <v>113</v>
      </c>
    </row>
    <row r="47" spans="1:6" x14ac:dyDescent="0.25">
      <c r="A47" s="80" t="s">
        <v>38</v>
      </c>
      <c r="B47" s="81">
        <v>3276</v>
      </c>
      <c r="C47" s="81">
        <f>E47</f>
        <v>15</v>
      </c>
      <c r="D47" s="81">
        <f>(60*24)/Calculator!$B$20</f>
        <v>96</v>
      </c>
      <c r="E47" s="81">
        <v>15</v>
      </c>
      <c r="F47" s="81">
        <v>13</v>
      </c>
    </row>
    <row r="48" spans="1:6" x14ac:dyDescent="0.25">
      <c r="A48" s="75" t="s">
        <v>85</v>
      </c>
      <c r="B48" s="81">
        <v>1606</v>
      </c>
      <c r="C48" s="81">
        <f>E48-6</f>
        <v>0</v>
      </c>
      <c r="D48" s="81">
        <f>(60*24)/Calculator!$B$20</f>
        <v>96</v>
      </c>
      <c r="E48" s="81">
        <f>6+2*Calculator!B32</f>
        <v>6</v>
      </c>
      <c r="F48" s="81">
        <v>7</v>
      </c>
    </row>
    <row r="49" spans="1:8" x14ac:dyDescent="0.25">
      <c r="A49" s="91" t="s">
        <v>86</v>
      </c>
      <c r="B49" s="81">
        <v>16048</v>
      </c>
      <c r="C49" s="81">
        <f>E49-6</f>
        <v>20</v>
      </c>
      <c r="D49" s="81">
        <f>(60*24)/Calculator!$B$20</f>
        <v>96</v>
      </c>
      <c r="E49" s="81">
        <f>26+5*Calculator!B32</f>
        <v>26</v>
      </c>
      <c r="F49" s="81">
        <v>36</v>
      </c>
    </row>
    <row r="50" spans="1:8" x14ac:dyDescent="0.25">
      <c r="A50" s="75" t="s">
        <v>67</v>
      </c>
      <c r="B50" s="81">
        <v>1336</v>
      </c>
      <c r="C50" s="81">
        <v>1</v>
      </c>
      <c r="D50" s="81">
        <f>(60*24)/Calculator!$B$20</f>
        <v>96</v>
      </c>
      <c r="E50" s="81">
        <f>4</f>
        <v>4</v>
      </c>
      <c r="F50" s="81">
        <v>1</v>
      </c>
    </row>
    <row r="51" spans="1:8" x14ac:dyDescent="0.25">
      <c r="A51" s="80" t="s">
        <v>70</v>
      </c>
      <c r="B51" s="81">
        <v>1594</v>
      </c>
      <c r="C51" s="81">
        <f>2</f>
        <v>2</v>
      </c>
      <c r="D51" s="81">
        <f>(60*24)/Calculator!$B$20</f>
        <v>96</v>
      </c>
      <c r="E51" s="81">
        <f>2+2</f>
        <v>4</v>
      </c>
      <c r="F51" s="81">
        <v>1</v>
      </c>
    </row>
    <row r="52" spans="1:8" x14ac:dyDescent="0.25">
      <c r="A52" s="75" t="s">
        <v>87</v>
      </c>
      <c r="B52" s="81">
        <v>1364</v>
      </c>
      <c r="C52" s="81">
        <f t="shared" ref="C52:C55" si="0">E52</f>
        <v>70</v>
      </c>
      <c r="D52" s="81">
        <f>(60*24)/Calculator!$B$20</f>
        <v>96</v>
      </c>
      <c r="E52" s="81">
        <f>Calculator!B17*Calculator!B33</f>
        <v>70</v>
      </c>
      <c r="F52" s="81">
        <v>1</v>
      </c>
    </row>
    <row r="53" spans="1:8" x14ac:dyDescent="0.25">
      <c r="A53" s="80" t="s">
        <v>40</v>
      </c>
      <c r="B53" s="81">
        <v>2158</v>
      </c>
      <c r="C53" s="81">
        <f>E53-7</f>
        <v>21</v>
      </c>
      <c r="D53" s="81">
        <f>(60*24)/Calculator!$B$20</f>
        <v>96</v>
      </c>
      <c r="E53" s="81">
        <f>13+(1)*Calculator!B11</f>
        <v>28</v>
      </c>
      <c r="F53" s="81">
        <v>10</v>
      </c>
    </row>
    <row r="54" spans="1:8" x14ac:dyDescent="0.25">
      <c r="A54" s="75" t="s">
        <v>88</v>
      </c>
      <c r="B54" s="81">
        <v>3578</v>
      </c>
      <c r="C54" s="81">
        <v>18</v>
      </c>
      <c r="D54" s="81">
        <f>(60*24)/Calculator!$B$20</f>
        <v>96</v>
      </c>
      <c r="E54" s="81">
        <f>30+8*Calculator!B32</f>
        <v>30</v>
      </c>
      <c r="F54" s="81">
        <v>19</v>
      </c>
    </row>
    <row r="55" spans="1:8" x14ac:dyDescent="0.25">
      <c r="A55" s="91" t="s">
        <v>95</v>
      </c>
      <c r="B55" s="81">
        <v>0</v>
      </c>
      <c r="C55" s="81">
        <f t="shared" si="0"/>
        <v>5</v>
      </c>
      <c r="D55" s="81">
        <f>(60*24)/Calculator!$B$20</f>
        <v>96</v>
      </c>
      <c r="E55" s="81">
        <v>5</v>
      </c>
      <c r="F55" s="81">
        <v>0</v>
      </c>
    </row>
    <row r="56" spans="1:8" x14ac:dyDescent="0.25">
      <c r="A56" s="75" t="s">
        <v>89</v>
      </c>
      <c r="B56" s="81">
        <v>1908</v>
      </c>
      <c r="C56" s="8"/>
      <c r="D56" s="6"/>
      <c r="E56" s="6"/>
    </row>
    <row r="57" spans="1:8" x14ac:dyDescent="0.25">
      <c r="A57" s="6"/>
      <c r="B57" s="6"/>
      <c r="C57" s="6"/>
      <c r="D57" s="6"/>
      <c r="E57" s="6"/>
      <c r="F57" s="6"/>
      <c r="G57" s="6"/>
      <c r="H57" s="6"/>
    </row>
    <row r="58" spans="1:8" ht="15.75" x14ac:dyDescent="0.25">
      <c r="A58" s="7" t="s">
        <v>90</v>
      </c>
      <c r="B58" s="7" t="s">
        <v>73</v>
      </c>
      <c r="C58" s="6"/>
      <c r="D58" s="6"/>
      <c r="E58" s="6"/>
      <c r="F58" s="6"/>
      <c r="G58" s="6"/>
      <c r="H58" s="6"/>
    </row>
    <row r="59" spans="1:8" x14ac:dyDescent="0.25">
      <c r="A59" s="9" t="s">
        <v>91</v>
      </c>
      <c r="B59" s="65">
        <v>200</v>
      </c>
    </row>
  </sheetData>
  <mergeCells count="6">
    <mergeCell ref="D45:E45"/>
    <mergeCell ref="B44:C44"/>
    <mergeCell ref="E3:G4"/>
    <mergeCell ref="E5:G8"/>
    <mergeCell ref="E9:G9"/>
    <mergeCell ref="D44:F44"/>
  </mergeCells>
  <pageMargins left="0.7" right="0.7" top="0.75" bottom="0.75" header="0.3" footer="0.3"/>
  <pageSetup paperSize="9" orientation="portrait" verticalDpi="4294967294"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59"/>
  <sheetViews>
    <sheetView showGridLines="0" topLeftCell="A34" zoomScale="90" zoomScaleNormal="90" workbookViewId="0">
      <selection activeCell="E56" sqref="E56"/>
    </sheetView>
  </sheetViews>
  <sheetFormatPr defaultRowHeight="15" x14ac:dyDescent="0.25"/>
  <cols>
    <col min="1" max="1" width="42.28515625" bestFit="1" customWidth="1"/>
    <col min="2" max="2" width="19" customWidth="1"/>
    <col min="3" max="3" width="19" bestFit="1" customWidth="1"/>
    <col min="4" max="4" width="19" customWidth="1"/>
    <col min="5" max="5" width="8.140625" customWidth="1"/>
    <col min="6" max="6" width="17" bestFit="1" customWidth="1"/>
    <col min="7" max="7" width="36" customWidth="1"/>
    <col min="8" max="8" width="29.42578125" customWidth="1"/>
    <col min="9" max="9" width="14.85546875" customWidth="1"/>
  </cols>
  <sheetData>
    <row r="1" spans="1:7" x14ac:dyDescent="0.25">
      <c r="A1" s="5"/>
    </row>
    <row r="2" spans="1:7" ht="15.75" x14ac:dyDescent="0.25">
      <c r="A2" s="7" t="s">
        <v>21</v>
      </c>
      <c r="B2" s="7" t="s">
        <v>53</v>
      </c>
      <c r="C2" s="7" t="s">
        <v>22</v>
      </c>
    </row>
    <row r="3" spans="1:7" x14ac:dyDescent="0.25">
      <c r="A3" s="6" t="s">
        <v>54</v>
      </c>
      <c r="B3" s="6"/>
      <c r="C3" s="6"/>
      <c r="E3" s="117" t="s">
        <v>55</v>
      </c>
      <c r="F3" s="117"/>
      <c r="G3" s="117"/>
    </row>
    <row r="4" spans="1:7" x14ac:dyDescent="0.25">
      <c r="A4" s="9" t="s">
        <v>56</v>
      </c>
      <c r="B4" s="65">
        <f xml:space="preserve"> B59 * (C54)*D54*Calculator!B29</f>
        <v>153600</v>
      </c>
      <c r="C4" s="65">
        <f xml:space="preserve"> E54*(B36*D54 + B37*24+B38)*Calculator!B29</f>
        <v>140536</v>
      </c>
      <c r="E4" s="117"/>
      <c r="F4" s="117"/>
      <c r="G4" s="117"/>
    </row>
    <row r="5" spans="1:7" ht="15" customHeight="1" x14ac:dyDescent="0.25">
      <c r="A5" s="6" t="s">
        <v>96</v>
      </c>
      <c r="B5" s="65">
        <f>B59*C55*D55*Calculator!B29</f>
        <v>0</v>
      </c>
      <c r="C5" s="65">
        <f xml:space="preserve"> E55*(B36*D55 + B37*24+B38)*Calculator!B29</f>
        <v>0</v>
      </c>
      <c r="E5" s="118" t="s">
        <v>57</v>
      </c>
      <c r="F5" s="118"/>
      <c r="G5" s="118"/>
    </row>
    <row r="6" spans="1:7" x14ac:dyDescent="0.25">
      <c r="A6" s="60" t="s">
        <v>58</v>
      </c>
      <c r="B6" s="93"/>
      <c r="C6" s="93">
        <v>0</v>
      </c>
      <c r="E6" s="118"/>
      <c r="F6" s="118"/>
      <c r="G6" s="118"/>
    </row>
    <row r="7" spans="1:7" x14ac:dyDescent="0.25">
      <c r="A7" s="6" t="s">
        <v>59</v>
      </c>
      <c r="C7" s="92">
        <v>2</v>
      </c>
      <c r="E7" s="118"/>
      <c r="F7" s="118"/>
      <c r="G7" s="118"/>
    </row>
    <row r="8" spans="1:7" x14ac:dyDescent="0.25">
      <c r="A8" s="9" t="s">
        <v>60</v>
      </c>
      <c r="B8" s="93"/>
      <c r="C8" s="93">
        <v>4</v>
      </c>
      <c r="E8" s="118"/>
      <c r="F8" s="118"/>
      <c r="G8" s="118"/>
    </row>
    <row r="9" spans="1:7" ht="15" customHeight="1" x14ac:dyDescent="0.25">
      <c r="A9" s="6" t="s">
        <v>106</v>
      </c>
      <c r="C9" s="92">
        <v>0.5</v>
      </c>
      <c r="E9" s="119" t="s">
        <v>124</v>
      </c>
      <c r="F9" s="117"/>
      <c r="G9" s="117"/>
    </row>
    <row r="10" spans="1:7" ht="15.75" x14ac:dyDescent="0.25">
      <c r="A10" s="7" t="s">
        <v>25</v>
      </c>
      <c r="B10" s="7" t="s">
        <v>53</v>
      </c>
      <c r="C10" s="7" t="s">
        <v>22</v>
      </c>
      <c r="E10" s="59"/>
      <c r="F10" s="59"/>
      <c r="G10" s="59"/>
    </row>
    <row r="11" spans="1:7" x14ac:dyDescent="0.25">
      <c r="A11" s="6" t="s">
        <v>54</v>
      </c>
      <c r="B11" s="6"/>
      <c r="C11" s="6"/>
      <c r="D11" s="6"/>
      <c r="E11" s="59"/>
      <c r="F11" s="59"/>
      <c r="G11" s="59"/>
    </row>
    <row r="12" spans="1:7" x14ac:dyDescent="0.25">
      <c r="A12" s="9" t="s">
        <v>61</v>
      </c>
      <c r="B12" s="65">
        <f xml:space="preserve"> B59*C49 *D49</f>
        <v>96000</v>
      </c>
      <c r="C12" s="65">
        <f xml:space="preserve"> E49*(B36*D49 + B37*24+B38)</f>
        <v>87835</v>
      </c>
      <c r="D12" s="6"/>
      <c r="E12" s="59"/>
      <c r="F12" s="59"/>
      <c r="G12" s="59"/>
    </row>
    <row r="13" spans="1:7" x14ac:dyDescent="0.25">
      <c r="A13" s="6" t="s">
        <v>97</v>
      </c>
      <c r="B13" s="65">
        <f xml:space="preserve"> B59*C50 * D50</f>
        <v>710400</v>
      </c>
      <c r="C13" s="65">
        <f xml:space="preserve"> E50*(B36*D50 + B37*24+B38)</f>
        <v>649979</v>
      </c>
      <c r="D13" s="6"/>
      <c r="E13" s="59"/>
      <c r="F13" s="59"/>
      <c r="G13" s="59"/>
    </row>
    <row r="14" spans="1:7" x14ac:dyDescent="0.25">
      <c r="A14" s="9" t="s">
        <v>99</v>
      </c>
      <c r="B14" s="65">
        <f xml:space="preserve"> B59*C51 *D51</f>
        <v>76800</v>
      </c>
      <c r="C14" s="65">
        <f xml:space="preserve"> E51*(B36*D51 + B37*24+B38)</f>
        <v>70268</v>
      </c>
      <c r="D14" s="6"/>
    </row>
    <row r="15" spans="1:7" x14ac:dyDescent="0.25">
      <c r="A15" s="6" t="s">
        <v>98</v>
      </c>
      <c r="B15" s="65">
        <f xml:space="preserve"> B59*C52 *D52</f>
        <v>1344000</v>
      </c>
      <c r="C15" s="65">
        <f xml:space="preserve"> E52*(B36*D52 + B37*24+B38)</f>
        <v>1229690</v>
      </c>
      <c r="D15" s="6"/>
    </row>
    <row r="16" spans="1:7" x14ac:dyDescent="0.25">
      <c r="A16" s="9" t="s">
        <v>58</v>
      </c>
      <c r="B16" s="9"/>
      <c r="C16" s="93">
        <v>4</v>
      </c>
      <c r="D16" s="6"/>
    </row>
    <row r="17" spans="1:4" x14ac:dyDescent="0.25">
      <c r="A17" s="6" t="s">
        <v>59</v>
      </c>
      <c r="C17" s="92">
        <v>2</v>
      </c>
      <c r="D17" s="6"/>
    </row>
    <row r="18" spans="1:4" x14ac:dyDescent="0.25">
      <c r="A18" s="9" t="s">
        <v>60</v>
      </c>
      <c r="B18" s="9"/>
      <c r="C18" s="93">
        <v>4</v>
      </c>
      <c r="D18" s="6"/>
    </row>
    <row r="19" spans="1:4" x14ac:dyDescent="0.25">
      <c r="A19" s="6" t="s">
        <v>106</v>
      </c>
      <c r="C19" s="92">
        <v>0.25</v>
      </c>
      <c r="D19" s="6"/>
    </row>
    <row r="20" spans="1:4" ht="15.75" x14ac:dyDescent="0.25">
      <c r="A20" s="7" t="s">
        <v>62</v>
      </c>
      <c r="B20" s="7" t="s">
        <v>53</v>
      </c>
      <c r="C20" s="7" t="s">
        <v>22</v>
      </c>
      <c r="D20" s="6"/>
    </row>
    <row r="21" spans="1:4" x14ac:dyDescent="0.25">
      <c r="A21" s="19" t="s">
        <v>54</v>
      </c>
      <c r="B21" s="6"/>
      <c r="C21" s="6"/>
      <c r="D21" s="6"/>
    </row>
    <row r="22" spans="1:4" x14ac:dyDescent="0.25">
      <c r="A22" s="61" t="s">
        <v>63</v>
      </c>
      <c r="B22" s="65">
        <f>B59*C47* D47</f>
        <v>0</v>
      </c>
      <c r="C22" s="65">
        <f xml:space="preserve"> E47*(B36*D47 + B37*24+B38)</f>
        <v>0</v>
      </c>
      <c r="D22" s="6"/>
    </row>
    <row r="23" spans="1:4" x14ac:dyDescent="0.25">
      <c r="A23" s="19" t="s">
        <v>64</v>
      </c>
      <c r="B23" s="65">
        <f>B59*C48* D48</f>
        <v>38400</v>
      </c>
      <c r="C23" s="65">
        <f xml:space="preserve"> E48*(B36*D48 + B37*24+B38)</f>
        <v>35134</v>
      </c>
      <c r="D23" s="6"/>
    </row>
    <row r="24" spans="1:4" x14ac:dyDescent="0.25">
      <c r="A24" s="61" t="s">
        <v>65</v>
      </c>
      <c r="B24" s="65">
        <f>B59*C53* D53</f>
        <v>1017600</v>
      </c>
      <c r="C24" s="65">
        <f xml:space="preserve"> E53*(B36*D53 + B37*24+B38)</f>
        <v>931051</v>
      </c>
      <c r="D24" s="6"/>
    </row>
    <row r="25" spans="1:4" x14ac:dyDescent="0.25">
      <c r="A25" s="10" t="s">
        <v>58</v>
      </c>
      <c r="B25" s="10"/>
      <c r="C25" s="94">
        <v>0</v>
      </c>
      <c r="D25" s="6"/>
    </row>
    <row r="26" spans="1:4" x14ac:dyDescent="0.25">
      <c r="A26" s="9" t="s">
        <v>59</v>
      </c>
      <c r="B26" s="9"/>
      <c r="C26" s="93">
        <v>1</v>
      </c>
      <c r="D26" s="6"/>
    </row>
    <row r="27" spans="1:4" x14ac:dyDescent="0.25">
      <c r="A27" s="6" t="s">
        <v>60</v>
      </c>
      <c r="C27" s="92">
        <v>4</v>
      </c>
      <c r="D27" s="6"/>
    </row>
    <row r="28" spans="1:4" x14ac:dyDescent="0.25">
      <c r="A28" s="9" t="s">
        <v>106</v>
      </c>
      <c r="B28" s="9"/>
      <c r="C28" s="93">
        <v>0.25</v>
      </c>
      <c r="D28" s="6"/>
    </row>
    <row r="29" spans="1:4" ht="15.75" x14ac:dyDescent="0.25">
      <c r="A29" s="7" t="s">
        <v>66</v>
      </c>
      <c r="B29" s="7" t="s">
        <v>53</v>
      </c>
      <c r="C29" s="7" t="s">
        <v>22</v>
      </c>
    </row>
    <row r="30" spans="1:4" x14ac:dyDescent="0.25">
      <c r="A30" s="6" t="s">
        <v>68</v>
      </c>
      <c r="B30" s="65">
        <v>3000</v>
      </c>
      <c r="C30" s="65">
        <v>4750</v>
      </c>
    </row>
    <row r="31" spans="1:4" x14ac:dyDescent="0.25">
      <c r="A31" s="9" t="s">
        <v>69</v>
      </c>
      <c r="B31" s="65">
        <v>5000</v>
      </c>
      <c r="C31" s="65">
        <v>1345</v>
      </c>
    </row>
    <row r="32" spans="1:4" x14ac:dyDescent="0.25">
      <c r="A32" s="6" t="s">
        <v>71</v>
      </c>
      <c r="B32" s="65">
        <v>520</v>
      </c>
      <c r="C32" s="65"/>
    </row>
    <row r="33" spans="1:6" x14ac:dyDescent="0.25">
      <c r="A33" s="9" t="s">
        <v>105</v>
      </c>
      <c r="B33" s="65"/>
      <c r="C33" s="65">
        <v>3016</v>
      </c>
    </row>
    <row r="35" spans="1:6" ht="15.75" x14ac:dyDescent="0.25">
      <c r="A35" s="7" t="s">
        <v>72</v>
      </c>
      <c r="B35" s="7" t="s">
        <v>73</v>
      </c>
    </row>
    <row r="36" spans="1:6" x14ac:dyDescent="0.25">
      <c r="A36" s="6" t="s">
        <v>74</v>
      </c>
      <c r="B36" s="65">
        <v>124</v>
      </c>
    </row>
    <row r="37" spans="1:6" x14ac:dyDescent="0.25">
      <c r="A37" s="9" t="s">
        <v>75</v>
      </c>
      <c r="B37" s="65">
        <v>226</v>
      </c>
    </row>
    <row r="38" spans="1:6" x14ac:dyDescent="0.25">
      <c r="A38" s="6" t="s">
        <v>76</v>
      </c>
      <c r="B38" s="65">
        <v>239</v>
      </c>
    </row>
    <row r="39" spans="1:6" x14ac:dyDescent="0.25">
      <c r="A39" s="9" t="s">
        <v>77</v>
      </c>
      <c r="B39" s="65">
        <v>77</v>
      </c>
    </row>
    <row r="40" spans="1:6" x14ac:dyDescent="0.25">
      <c r="A40" s="6" t="s">
        <v>78</v>
      </c>
      <c r="B40" s="65">
        <v>113</v>
      </c>
    </row>
    <row r="41" spans="1:6" x14ac:dyDescent="0.25">
      <c r="A41" s="9" t="s">
        <v>79</v>
      </c>
      <c r="B41" s="65">
        <v>104</v>
      </c>
    </row>
    <row r="43" spans="1:6" x14ac:dyDescent="0.25">
      <c r="A43" s="72"/>
      <c r="B43" s="76"/>
      <c r="C43" s="73"/>
      <c r="D43" s="73"/>
      <c r="E43" s="73"/>
      <c r="F43" s="74"/>
    </row>
    <row r="44" spans="1:6" ht="15.75" x14ac:dyDescent="0.25">
      <c r="A44" s="77"/>
      <c r="B44" s="116" t="s">
        <v>15</v>
      </c>
      <c r="C44" s="116"/>
      <c r="D44" s="116" t="s">
        <v>22</v>
      </c>
      <c r="E44" s="116"/>
      <c r="F44" s="116"/>
    </row>
    <row r="45" spans="1:6" ht="15.75" x14ac:dyDescent="0.25">
      <c r="A45" s="77" t="s">
        <v>80</v>
      </c>
      <c r="B45" s="96" t="s">
        <v>81</v>
      </c>
      <c r="C45" s="96" t="s">
        <v>82</v>
      </c>
      <c r="D45" s="115" t="s">
        <v>82</v>
      </c>
      <c r="E45" s="115"/>
      <c r="F45" s="96" t="s">
        <v>114</v>
      </c>
    </row>
    <row r="46" spans="1:6" ht="15.75" x14ac:dyDescent="0.25">
      <c r="A46" s="77"/>
      <c r="B46" s="79" t="s">
        <v>73</v>
      </c>
      <c r="C46" s="79" t="s">
        <v>83</v>
      </c>
      <c r="D46" s="79" t="s">
        <v>84</v>
      </c>
      <c r="E46" s="79" t="s">
        <v>83</v>
      </c>
      <c r="F46" s="79" t="s">
        <v>113</v>
      </c>
    </row>
    <row r="47" spans="1:6" x14ac:dyDescent="0.25">
      <c r="A47" s="80" t="s">
        <v>38</v>
      </c>
      <c r="B47" s="81">
        <v>3276</v>
      </c>
      <c r="C47" s="81">
        <f>E47</f>
        <v>0</v>
      </c>
      <c r="D47" s="81">
        <f>(60*24)/Calculator!$B$20</f>
        <v>96</v>
      </c>
      <c r="E47" s="81">
        <v>0</v>
      </c>
      <c r="F47" s="81">
        <v>12</v>
      </c>
    </row>
    <row r="48" spans="1:6" x14ac:dyDescent="0.25">
      <c r="A48" s="75" t="s">
        <v>85</v>
      </c>
      <c r="B48" s="81">
        <v>1606</v>
      </c>
      <c r="C48" s="81">
        <f>E48</f>
        <v>2</v>
      </c>
      <c r="D48" s="81">
        <f>(60*24)/Calculator!$B$20</f>
        <v>96</v>
      </c>
      <c r="E48" s="81">
        <v>2</v>
      </c>
      <c r="F48" s="81">
        <v>7</v>
      </c>
    </row>
    <row r="49" spans="1:8" x14ac:dyDescent="0.25">
      <c r="A49" s="91" t="s">
        <v>86</v>
      </c>
      <c r="B49" s="81">
        <v>16048</v>
      </c>
      <c r="C49" s="81">
        <f>E49</f>
        <v>5</v>
      </c>
      <c r="D49" s="81">
        <f>(60*24)/Calculator!$B$20</f>
        <v>96</v>
      </c>
      <c r="E49" s="81">
        <v>5</v>
      </c>
      <c r="F49" s="81">
        <v>36</v>
      </c>
    </row>
    <row r="50" spans="1:8" x14ac:dyDescent="0.25">
      <c r="A50" s="75" t="s">
        <v>67</v>
      </c>
      <c r="B50" s="81">
        <v>1336</v>
      </c>
      <c r="C50" s="81">
        <f>E50</f>
        <v>37</v>
      </c>
      <c r="D50" s="81">
        <f>(60*24)/Calculator!$B$20</f>
        <v>96</v>
      </c>
      <c r="E50" s="81">
        <f>5+Calculator!B18*8</f>
        <v>37</v>
      </c>
      <c r="F50" s="81">
        <v>1</v>
      </c>
    </row>
    <row r="51" spans="1:8" x14ac:dyDescent="0.25">
      <c r="A51" s="80" t="s">
        <v>70</v>
      </c>
      <c r="B51" s="81">
        <v>1594</v>
      </c>
      <c r="C51" s="81">
        <f>E51</f>
        <v>4</v>
      </c>
      <c r="D51" s="81">
        <f>(60*24)/Calculator!$B$20</f>
        <v>96</v>
      </c>
      <c r="E51" s="81">
        <v>4</v>
      </c>
      <c r="F51" s="81">
        <v>1</v>
      </c>
    </row>
    <row r="52" spans="1:8" x14ac:dyDescent="0.25">
      <c r="A52" s="75" t="s">
        <v>87</v>
      </c>
      <c r="B52" s="81">
        <v>1364</v>
      </c>
      <c r="C52" s="81">
        <f t="shared" ref="C52:C55" si="0">E52</f>
        <v>70</v>
      </c>
      <c r="D52" s="81">
        <f>(60*24)/Calculator!$B$20</f>
        <v>96</v>
      </c>
      <c r="E52" s="81">
        <f>Calculator!B17*Calculator!B33</f>
        <v>70</v>
      </c>
      <c r="F52" s="81">
        <v>1</v>
      </c>
    </row>
    <row r="53" spans="1:8" x14ac:dyDescent="0.25">
      <c r="A53" s="80" t="s">
        <v>40</v>
      </c>
      <c r="B53" s="81">
        <v>2158</v>
      </c>
      <c r="C53" s="81">
        <f t="shared" si="0"/>
        <v>53</v>
      </c>
      <c r="D53" s="81">
        <f>(60*24)/Calculator!$B$20</f>
        <v>96</v>
      </c>
      <c r="E53" s="81">
        <f>8+(3)*Calculator!B11</f>
        <v>53</v>
      </c>
      <c r="F53" s="81">
        <v>10</v>
      </c>
    </row>
    <row r="54" spans="1:8" x14ac:dyDescent="0.25">
      <c r="A54" s="75" t="s">
        <v>88</v>
      </c>
      <c r="B54" s="81">
        <v>3578</v>
      </c>
      <c r="C54" s="81">
        <f t="shared" si="0"/>
        <v>8</v>
      </c>
      <c r="D54" s="81">
        <f>(60*24)/Calculator!$B$20</f>
        <v>96</v>
      </c>
      <c r="E54" s="81">
        <f>8</f>
        <v>8</v>
      </c>
      <c r="F54" s="81">
        <v>19</v>
      </c>
    </row>
    <row r="55" spans="1:8" x14ac:dyDescent="0.25">
      <c r="A55" s="91" t="s">
        <v>95</v>
      </c>
      <c r="B55" s="81">
        <v>0</v>
      </c>
      <c r="C55" s="81">
        <f t="shared" si="0"/>
        <v>0</v>
      </c>
      <c r="D55" s="81">
        <f>(60*24)/Calculator!$B$20</f>
        <v>96</v>
      </c>
      <c r="E55" s="81">
        <v>0</v>
      </c>
      <c r="F55" s="81">
        <v>0</v>
      </c>
    </row>
    <row r="56" spans="1:8" x14ac:dyDescent="0.25">
      <c r="A56" s="75" t="s">
        <v>89</v>
      </c>
      <c r="B56" s="81">
        <v>1908</v>
      </c>
      <c r="C56" s="8"/>
      <c r="D56" s="6"/>
      <c r="E56" s="6"/>
    </row>
    <row r="57" spans="1:8" x14ac:dyDescent="0.25">
      <c r="A57" s="6"/>
      <c r="B57" s="6"/>
      <c r="C57" s="6"/>
      <c r="D57" s="6"/>
      <c r="E57" s="6"/>
      <c r="F57" s="6"/>
      <c r="G57" s="6"/>
      <c r="H57" s="6"/>
    </row>
    <row r="58" spans="1:8" ht="15.75" x14ac:dyDescent="0.25">
      <c r="A58" s="7" t="s">
        <v>90</v>
      </c>
      <c r="B58" s="7" t="s">
        <v>73</v>
      </c>
      <c r="C58" s="6"/>
      <c r="D58" s="6"/>
      <c r="E58" s="6"/>
      <c r="F58" s="6"/>
      <c r="G58" s="6"/>
      <c r="H58" s="6"/>
    </row>
    <row r="59" spans="1:8" x14ac:dyDescent="0.25">
      <c r="A59" s="9" t="s">
        <v>91</v>
      </c>
      <c r="B59" s="65">
        <v>200</v>
      </c>
    </row>
  </sheetData>
  <mergeCells count="6">
    <mergeCell ref="D45:E45"/>
    <mergeCell ref="E3:G4"/>
    <mergeCell ref="E5:G8"/>
    <mergeCell ref="E9:G9"/>
    <mergeCell ref="B44:C44"/>
    <mergeCell ref="D44:F44"/>
  </mergeCells>
  <pageMargins left="0.7" right="0.7" top="0.75" bottom="0.75" header="0.3" footer="0.3"/>
  <pageSetup paperSize="9" orientation="portrait" verticalDpi="4294967294"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5C821AFC3C16C43AE10B51B783365A6" ma:contentTypeVersion="0" ma:contentTypeDescription="Create a new document." ma:contentTypeScope="" ma:versionID="7e3d664a91aea73a0aec96f2f3e7d830">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61002E9A-1395-466A-B90C-176BE1433AB8}">
  <ds:schemaRefs>
    <ds:schemaRef ds:uri="http://schemas.microsoft.com/sharepoint/v3/contenttype/forms"/>
  </ds:schemaRefs>
</ds:datastoreItem>
</file>

<file path=customXml/itemProps2.xml><?xml version="1.0" encoding="utf-8"?>
<ds:datastoreItem xmlns:ds="http://schemas.openxmlformats.org/officeDocument/2006/customXml" ds:itemID="{A7F88460-460B-4B19-9410-8E744B6F4D9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2CB03E21-FB60-4EBD-8A6B-1D265AEBFCA1}">
  <ds:schemaRefs>
    <ds:schemaRef ds:uri="http://purl.org/dc/elements/1.1/"/>
    <ds:schemaRef ds:uri="http://www.w3.org/XML/1998/namespace"/>
    <ds:schemaRef ds:uri="http://purl.org/dc/terms/"/>
    <ds:schemaRef ds:uri="http://schemas.microsoft.com/office/2006/documentManagement/types"/>
    <ds:schemaRef ds:uri="http://schemas.openxmlformats.org/package/2006/metadata/core-properties"/>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Instructions&amp;Notes</vt:lpstr>
      <vt:lpstr>Calculator</vt:lpstr>
      <vt:lpstr>High-granularity</vt:lpstr>
      <vt:lpstr>Metrics&amp;Counters</vt:lpstr>
      <vt:lpstr>HG Metrics&amp;Counters</vt:lpstr>
      <vt:lpstr>Sheet1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Sergey Goncharenko</dc:creator>
  <cp:lastModifiedBy>Sergey Goncharenko</cp:lastModifiedBy>
  <dcterms:created xsi:type="dcterms:W3CDTF">2010-02-08T13:53:16Z</dcterms:created>
  <dcterms:modified xsi:type="dcterms:W3CDTF">2015-08-06T13:13:24Z</dcterms:modified>
</cp:coreProperties>
</file>